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3680" windowHeight="7785" firstSheet="4" activeTab="4"/>
  </bookViews>
  <sheets>
    <sheet name="Type of Predation" sheetId="2" r:id="rId1"/>
    <sheet name="Zones" sheetId="1" r:id="rId2"/>
    <sheet name="Demographics" sheetId="18" r:id="rId3"/>
    <sheet name="Probabilities" sheetId="19" r:id="rId4"/>
    <sheet name="Summary" sheetId="11" r:id="rId5"/>
    <sheet name="Expected Results" sheetId="17" r:id="rId6"/>
    <sheet name="Cost of Entry" sheetId="20" r:id="rId7"/>
    <sheet name="Death" sheetId="6" r:id="rId8"/>
    <sheet name="Rapes" sheetId="4" r:id="rId9"/>
    <sheet name="Kidnapping" sheetId="3" r:id="rId10"/>
    <sheet name="Human Trafficking" sheetId="9" r:id="rId11"/>
    <sheet name="Assault" sheetId="7" r:id="rId12"/>
    <sheet name="Robbery" sheetId="14" r:id="rId13"/>
    <sheet name="Failed Entry" sheetId="5" r:id="rId14"/>
    <sheet name="Drug Smuggling" sheetId="15" r:id="rId15"/>
    <sheet name="Incarceration" sheetId="13" r:id="rId16"/>
    <sheet name="Organ Harvesting" sheetId="12" r:id="rId17"/>
    <sheet name="Reading" sheetId="10" r:id="rId18"/>
  </sheets>
  <externalReferences>
    <externalReference r:id="rId19"/>
  </externalReferences>
  <calcPr calcId="145621"/>
</workbook>
</file>

<file path=xl/calcChain.xml><?xml version="1.0" encoding="utf-8"?>
<calcChain xmlns="http://schemas.openxmlformats.org/spreadsheetml/2006/main">
  <c r="G18" i="20" l="1"/>
  <c r="G11" i="20"/>
  <c r="D12" i="11"/>
  <c r="B29" i="11" l="1"/>
  <c r="B9" i="11"/>
  <c r="B22" i="11" s="1"/>
  <c r="B10" i="11"/>
  <c r="B23" i="11" s="1"/>
  <c r="B11" i="11"/>
  <c r="B24" i="11" s="1"/>
  <c r="B12" i="11"/>
  <c r="B25" i="11" s="1"/>
  <c r="B13" i="11"/>
  <c r="B26" i="11" s="1"/>
  <c r="B16" i="11"/>
  <c r="B28" i="11" s="1"/>
  <c r="B14" i="11"/>
  <c r="B27" i="11" s="1"/>
  <c r="B8" i="11"/>
  <c r="B21" i="11" s="1"/>
  <c r="E15" i="17" l="1"/>
  <c r="B15" i="18"/>
  <c r="A32" i="20" l="1"/>
  <c r="A31" i="20"/>
  <c r="A29" i="20"/>
  <c r="A28" i="20"/>
  <c r="A27" i="20"/>
  <c r="A26" i="20"/>
  <c r="A25" i="20"/>
  <c r="A24" i="20"/>
  <c r="A23" i="20"/>
  <c r="A22" i="20"/>
  <c r="A30" i="20"/>
  <c r="B32" i="20"/>
  <c r="F8" i="20"/>
  <c r="B22" i="20" s="1"/>
  <c r="E16" i="20"/>
  <c r="B11" i="20"/>
  <c r="B12" i="20"/>
  <c r="B13" i="20"/>
  <c r="B14" i="20"/>
  <c r="B15" i="20"/>
  <c r="B16" i="20"/>
  <c r="B17" i="20"/>
  <c r="B10" i="20"/>
  <c r="A27" i="19"/>
  <c r="A30" i="19"/>
  <c r="F9" i="20" l="1"/>
  <c r="B23" i="20" l="1"/>
  <c r="D16" i="20"/>
  <c r="F16" i="20" s="1"/>
  <c r="B25" i="20" s="1"/>
  <c r="F13" i="20"/>
  <c r="B29" i="20" s="1"/>
  <c r="D15" i="20"/>
  <c r="F15" i="20" s="1"/>
  <c r="B24" i="20" s="1"/>
  <c r="D11" i="20"/>
  <c r="F11" i="20" s="1"/>
  <c r="B26" i="20" s="1"/>
  <c r="F14" i="20"/>
  <c r="B28" i="20" s="1"/>
  <c r="F17" i="20"/>
  <c r="B31" i="20" s="1"/>
  <c r="F10" i="20"/>
  <c r="B30" i="20" s="1"/>
  <c r="F12" i="20"/>
  <c r="B27" i="20" s="1"/>
  <c r="F18" i="20" l="1"/>
  <c r="G7" i="20" s="1"/>
  <c r="G13" i="20" l="1"/>
  <c r="G15" i="20"/>
  <c r="G9" i="20"/>
  <c r="G8" i="20"/>
  <c r="G16" i="20"/>
  <c r="G10" i="20"/>
  <c r="F20" i="20"/>
  <c r="G12" i="20"/>
  <c r="G17" i="20"/>
  <c r="G14" i="20"/>
  <c r="B16" i="17" l="1"/>
  <c r="B10" i="17"/>
  <c r="B11" i="17"/>
  <c r="B12" i="17"/>
  <c r="B13" i="17"/>
  <c r="B14" i="17"/>
  <c r="B15" i="17"/>
  <c r="B9" i="17"/>
  <c r="C8" i="19"/>
  <c r="C12" i="19"/>
  <c r="C10" i="19"/>
  <c r="B34" i="18"/>
  <c r="C33" i="18" s="1"/>
  <c r="C38" i="18" s="1"/>
  <c r="B29" i="18"/>
  <c r="C29" i="18" s="1"/>
  <c r="B23" i="18"/>
  <c r="C23" i="18" s="1"/>
  <c r="B5" i="19" l="1"/>
  <c r="C16" i="11" s="1"/>
  <c r="B38" i="18"/>
  <c r="C5" i="19"/>
  <c r="C32" i="18"/>
  <c r="C37" i="18" s="1"/>
  <c r="B37" i="18" s="1"/>
  <c r="C34" i="18"/>
  <c r="B25" i="19" l="1"/>
  <c r="B26" i="19"/>
  <c r="E16" i="11" s="1"/>
  <c r="C27" i="19"/>
  <c r="C26" i="19"/>
  <c r="B21" i="19"/>
  <c r="B22" i="19"/>
  <c r="B27" i="19"/>
  <c r="D27" i="19" s="1"/>
  <c r="B39" i="18"/>
  <c r="B24" i="19"/>
  <c r="B20" i="19"/>
  <c r="C25" i="19"/>
  <c r="D25" i="19" s="1"/>
  <c r="C23" i="19"/>
  <c r="C21" i="19"/>
  <c r="D21" i="19" s="1"/>
  <c r="B30" i="19"/>
  <c r="B23" i="19"/>
  <c r="C22" i="19"/>
  <c r="D5" i="19"/>
  <c r="C20" i="19"/>
  <c r="C30" i="19"/>
  <c r="C24" i="19"/>
  <c r="D24" i="19" s="1"/>
  <c r="C14" i="17" l="1"/>
  <c r="E13" i="11"/>
  <c r="C13" i="17"/>
  <c r="E12" i="11"/>
  <c r="C10" i="17"/>
  <c r="E9" i="11"/>
  <c r="C15" i="17"/>
  <c r="E14" i="11"/>
  <c r="C28" i="11"/>
  <c r="D26" i="19"/>
  <c r="D16" i="11" s="1"/>
  <c r="D22" i="19"/>
  <c r="D30" i="19"/>
  <c r="D20" i="19"/>
  <c r="B28" i="19"/>
  <c r="B31" i="19" s="1"/>
  <c r="B32" i="19" s="1"/>
  <c r="D23" i="19"/>
  <c r="E11" i="11" s="1"/>
  <c r="C28" i="19"/>
  <c r="C31" i="19" s="1"/>
  <c r="C32" i="19" s="1"/>
  <c r="C16" i="17" l="1"/>
  <c r="E17" i="11"/>
  <c r="C12" i="11"/>
  <c r="C25" i="11"/>
  <c r="C11" i="17"/>
  <c r="E10" i="11"/>
  <c r="C9" i="11"/>
  <c r="C22" i="11"/>
  <c r="C13" i="11"/>
  <c r="C26" i="11"/>
  <c r="C24" i="11"/>
  <c r="D11" i="11"/>
  <c r="C9" i="17"/>
  <c r="E8" i="11"/>
  <c r="C21" i="11" s="1"/>
  <c r="C27" i="11"/>
  <c r="D14" i="11"/>
  <c r="C12" i="17"/>
  <c r="C17" i="17"/>
  <c r="B29" i="19"/>
  <c r="C29" i="19"/>
  <c r="D28" i="19"/>
  <c r="D31" i="19" s="1"/>
  <c r="D32" i="19" s="1"/>
  <c r="C23" i="11" l="1"/>
  <c r="D10" i="11"/>
  <c r="C10" i="11"/>
  <c r="C29" i="11"/>
  <c r="C17" i="11"/>
  <c r="E15" i="11"/>
  <c r="E18" i="11" s="1"/>
  <c r="C14" i="11"/>
  <c r="D15" i="11"/>
  <c r="D18" i="11" s="1"/>
  <c r="D29" i="19"/>
  <c r="C5" i="18"/>
  <c r="C6" i="18"/>
  <c r="C7" i="18"/>
  <c r="C9" i="18"/>
  <c r="C4" i="18"/>
  <c r="C12" i="18" s="1"/>
  <c r="B8" i="18"/>
  <c r="C8" i="18" s="1"/>
  <c r="C14" i="18" s="1"/>
  <c r="B14" i="18" s="1"/>
  <c r="B22" i="18" s="1"/>
  <c r="C22" i="18" s="1"/>
  <c r="B12" i="18" l="1"/>
  <c r="B20" i="18" s="1"/>
  <c r="C20" i="18" s="1"/>
  <c r="C15" i="18"/>
  <c r="C13" i="18"/>
  <c r="B13" i="18" s="1"/>
  <c r="B21" i="18" s="1"/>
  <c r="C21" i="18" s="1"/>
  <c r="B10" i="4" l="1"/>
  <c r="D15" i="17" l="1"/>
  <c r="D14" i="17"/>
  <c r="V39" i="17"/>
  <c r="U39" i="17"/>
  <c r="C12" i="6" l="1"/>
  <c r="C14" i="6" s="1"/>
  <c r="D12" i="17" l="1"/>
  <c r="D16" i="17"/>
  <c r="D13" i="17"/>
  <c r="D11" i="17"/>
  <c r="C8" i="11"/>
  <c r="C15" i="11" s="1"/>
  <c r="C18" i="11" s="1"/>
  <c r="K13" i="12"/>
  <c r="K11" i="12"/>
  <c r="D9" i="17" l="1"/>
  <c r="C8" i="15"/>
  <c r="C10" i="15" s="1"/>
  <c r="C12" i="15" s="1"/>
  <c r="C16" i="15" l="1"/>
  <c r="C17" i="15" s="1"/>
  <c r="C18" i="15"/>
  <c r="C19" i="15" s="1"/>
  <c r="H21" i="14" l="1"/>
  <c r="J22" i="14" s="1"/>
  <c r="L22" i="14" s="1"/>
  <c r="M5" i="14"/>
  <c r="C5" i="14"/>
  <c r="M5" i="7"/>
  <c r="C5" i="7" s="1"/>
  <c r="H12" i="7"/>
  <c r="J12" i="7" s="1"/>
  <c r="L12" i="7" s="1"/>
  <c r="J13" i="7" l="1"/>
  <c r="L13" i="7" s="1"/>
  <c r="J21" i="14"/>
  <c r="L21" i="14" s="1"/>
  <c r="C6" i="4"/>
  <c r="C10" i="4" s="1"/>
  <c r="W63" i="6"/>
  <c r="C12" i="4" l="1"/>
  <c r="D10" i="17" l="1"/>
  <c r="D17" i="17" s="1"/>
  <c r="E17" i="17" l="1"/>
  <c r="C39" i="18"/>
</calcChain>
</file>

<file path=xl/sharedStrings.xml><?xml version="1.0" encoding="utf-8"?>
<sst xmlns="http://schemas.openxmlformats.org/spreadsheetml/2006/main" count="661" uniqueCount="438">
  <si>
    <t>Zone</t>
  </si>
  <si>
    <t>Affected</t>
  </si>
  <si>
    <t>Comments</t>
  </si>
  <si>
    <t>Guatemala</t>
  </si>
  <si>
    <t>Hondurans, Salvadorans, Nicaraguans</t>
  </si>
  <si>
    <t>Mexico</t>
  </si>
  <si>
    <t>Guatemalans, Hondurans, Salvadorans, Nicaraguans (the 'Northern Triangle')</t>
  </si>
  <si>
    <t>US-Mexico Boder Zone</t>
  </si>
  <si>
    <t>A large share of predation befalls Northern Triangle citizens transitting Mexico illegally.  Data about such events tends to be anecdotal.</t>
  </si>
  <si>
    <t xml:space="preserve">The Border Zone is a largely lawless area in north Mexico, controlled by cartels, and the US border, to some extent covered by Border Patrol, but effectively unpoliced in many areas.  Mexicans and Central Americans, because they lack documentation or have entered cartel controlled areas, lack the protection of the law and are subject to predation.  </t>
  </si>
  <si>
    <t>US Interior</t>
  </si>
  <si>
    <t>Mexicans, Guatemalans, Hondurans, Salvadorans, Nicaraguans (collectively, 'migrants')</t>
  </si>
  <si>
    <t>Presumably, undocumented migrants transitting through Guatemala are subject to similar sorts of predation experienced farther north.  We have not researched this zone.</t>
  </si>
  <si>
    <t>Predation Zones</t>
  </si>
  <si>
    <t>Essentially, an undocumented alien in any country lacks meaningful protection of the law, and indeed actively seeks to avoid detection and interaction with law enforcement.  This makes such migrants susceptible to predation, which in our case, includes law enforcement actions, which, from the migrant's perspective, is just another risk of operating without proper documentation.  The types of predation run the gamut of crime and misfortune.</t>
  </si>
  <si>
    <t>Types of Adverse Events</t>
  </si>
  <si>
    <t>Comment</t>
  </si>
  <si>
    <t>Death</t>
  </si>
  <si>
    <t>Cause</t>
  </si>
  <si>
    <t>Kidnapping and Extortion</t>
  </si>
  <si>
    <t>Number</t>
  </si>
  <si>
    <t xml:space="preserve">Comment </t>
  </si>
  <si>
    <t>Source</t>
  </si>
  <si>
    <t>"...between September 2008 and February 2009. It estimated that during this period 9,758 migrants were kidnapped…"</t>
  </si>
  <si>
    <t>In Mexico, North Tri migrants</t>
  </si>
  <si>
    <t>Amnesty International, 2010</t>
  </si>
  <si>
    <t>https://www.amnestyusa.org/wp-content/uploads/2017/04/amr410142010eng.pdf</t>
  </si>
  <si>
    <t>Link</t>
  </si>
  <si>
    <t>In Mexico, North Tri migrants; translates into 20,000 kidnappings per annum</t>
  </si>
  <si>
    <t>Kidnapping and extortion are an edemic risk in Mexico, and not just for migrants.</t>
  </si>
  <si>
    <t>Rapes</t>
  </si>
  <si>
    <t>Migrant women are highly vulnerable to sexual assault and coercion.</t>
  </si>
  <si>
    <t>"According to some experts, the prevalence of rape is such that people smugglers may require women to have a contraceptive injection prior to the journey as a precaution against pregnancy resulting from rape."</t>
  </si>
  <si>
    <t>In Mexico, North Tri migrants; in Border Zone, Mexicans + NT; in US. Mex + NT</t>
  </si>
  <si>
    <t>"It is a widely held view – shared by local and international NGOs and health professionals working with migrant women – that as many as six in 10 migrant women and girls are raped."</t>
  </si>
  <si>
    <t>"Migrants who have been raped have to deal not only with the stigma associated with sexual violence, but also with the risk that if they report the crime they may be deported or that seeking treatment will deprive them of their one chance of reaching the USA. As a result, women migrants rarely report sexual violence and are very unlikely to file criminal complaints."</t>
  </si>
  <si>
    <t>‘Of every 10 women who pass through this shelter, six have suffered sexual assault.’ father heyman Vázquez Medina, migrants’ shelter, Arriaga, chiapas state</t>
  </si>
  <si>
    <t>Failed Entry</t>
  </si>
  <si>
    <t>Turning around and abandoning a crossing entry can also leave emotional scars, plus a loss of associated funds and time</t>
  </si>
  <si>
    <t>"in January 2010, Mexican parliamentarians presented a report indicating that 750 Mexican migrants had died while crossing into the USA during 2009."</t>
  </si>
  <si>
    <t>Not clear if this includes deaths counted by US Border Patrol</t>
  </si>
  <si>
    <t>That's about 150 / year, just Salvadorans</t>
  </si>
  <si>
    <t>Amnesty International, 2011</t>
  </si>
  <si>
    <t>Assault</t>
  </si>
  <si>
    <t>Robbery</t>
  </si>
  <si>
    <t>If the border were a black market, we would expect to see elevated murder rates in the regions.  And we do.</t>
  </si>
  <si>
    <t>Map at right.</t>
  </si>
  <si>
    <t>https://mises.org/wire/fbi-us-homicide-rate-51-year-low</t>
  </si>
  <si>
    <t>Mises Institute</t>
  </si>
  <si>
    <t>Salvadorans were 21% of Northern Triangle citizens detained in Mexico in 2014-2016</t>
  </si>
  <si>
    <t>US CBP</t>
  </si>
  <si>
    <t>Princeton Policy estimate is 1,000 dead per year</t>
  </si>
  <si>
    <t>Mexico murder rate was record 25,000 in 2017</t>
  </si>
  <si>
    <t>In the US, 40% of the murder rate was attributable to Prohibition</t>
  </si>
  <si>
    <t>In Mexico, 40% of 25,000 is 10,000, which could be allocated to both human and drug smuggling</t>
  </si>
  <si>
    <t>https://object.cato.org/pubs/pas/pa157.pdf</t>
  </si>
  <si>
    <t>CATO Institute</t>
  </si>
  <si>
    <t>https://warinternational.org/what-goes-unseen/</t>
  </si>
  <si>
    <t>What goes unseen - Women at Risk, referencing a number of different studies</t>
  </si>
  <si>
    <t>Reading List</t>
  </si>
  <si>
    <t>NYT onl lives of illegals</t>
  </si>
  <si>
    <t>https://www.nytimes.com/interactive/2017/03/06/us/politics/undocumented-illegal-immigrants.html</t>
  </si>
  <si>
    <t>Picker Requirements</t>
  </si>
  <si>
    <t>http://www.macon.com/news/business/article30223728.html</t>
  </si>
  <si>
    <t>Trump supporters ok with DACA</t>
  </si>
  <si>
    <t>http://www.latimes.com/politics/la-na-pol-trump-daca-arizona-20170916-story.html</t>
  </si>
  <si>
    <t>Drum on Arizona illegal economics</t>
  </si>
  <si>
    <t>http://www.motherjones.com/kevin-drum/2016/02/arizona-paying-high-price-cracking-down-illegal-immigration/</t>
  </si>
  <si>
    <t>WSJ on Arizona illegal economics</t>
  </si>
  <si>
    <t>https://www.wsj.com/articles/the-thorny-economics-of-illegal-immigration-1454984443</t>
  </si>
  <si>
    <t>SB 1070</t>
  </si>
  <si>
    <t>https://www.aclu.org/issues/immigrants-rights/state-and-local-immigration-laws/arizonas-sb-1070</t>
  </si>
  <si>
    <t>Anti-immigrant laws</t>
  </si>
  <si>
    <t>http://theweek.com/articles/485601/8-states-copying-arizonas-immigration-law</t>
  </si>
  <si>
    <t>Illegal immigration  and wages</t>
  </si>
  <si>
    <t>https://www.economist.com/news/united-states/21705699-who-are-main-economic-losers-low-skilled-immigration-wage-war</t>
  </si>
  <si>
    <t>8 States copying Arizona</t>
  </si>
  <si>
    <t>740k visa overstays</t>
  </si>
  <si>
    <t>http://www.washingtontimes.com/news/2017/may/22/visa-overstays-biggest-problem-illegal-immigration/</t>
  </si>
  <si>
    <t>Tougher to get into US</t>
  </si>
  <si>
    <t>https://www.washingtonpost.com/world/national-security/border-security-is-tougher-than-ever-dhs-report-finds/2017/09/18/5d198328-9a46-11e7-a527-3573bd073e02_story.html?utm_term=.208536f74070</t>
  </si>
  <si>
    <t>Harvard history of Mexican immigration</t>
  </si>
  <si>
    <t>http://harvardmagazine.com/2007/05/uneasy-neighbors-a-brief-html</t>
  </si>
  <si>
    <t>Arizona unemploment rate</t>
  </si>
  <si>
    <t>https://www.bls.gov/eag/eag.az.htm</t>
  </si>
  <si>
    <t>Fact check immigration cost savings Arizona</t>
  </si>
  <si>
    <t>http://www.politifact.com/arizona/statements/2016/mar/03/ted-cruz/has-arizonas-economy-improved-because-its-immigrat/</t>
  </si>
  <si>
    <t>Percent of Mexicans who want to live in the US</t>
  </si>
  <si>
    <t>http://www.cnn.com/2014/08/27/world/americas/mexico-immigration-survey/index.html</t>
  </si>
  <si>
    <t>Visa overstays</t>
  </si>
  <si>
    <t>https://www.nbcnews.com/news/latino/visa-overstays-outnumber-illegal-border-crossings-trend-expected-continue-n730216</t>
  </si>
  <si>
    <t>Wages rise on California farms. Americans still don’t want the job</t>
  </si>
  <si>
    <t>http://www.latimes.com/projects/la-fi-farms-immigration/</t>
  </si>
  <si>
    <t>Immigration Crackdown Expected To Increase Crops Left Unharvested In California Fields</t>
  </si>
  <si>
    <t>https://www.huffingtonpost.com/entry/immigrant-worker-unharvested-crops_us_59508a72e4b05c37bb774d89</t>
  </si>
  <si>
    <t>Efforts by DHS to Estimate Southwest Border Security between Ports of Entry</t>
  </si>
  <si>
    <t>https://www.dhs.gov/sites/default/files/publications/17_0914_estimates-of-border-security.pdf</t>
  </si>
  <si>
    <t>https://qz.com/988951/the-us-is-finally-telling-the-public-who-overstays-their-visas-the-most-and-its-not-mexicans/</t>
  </si>
  <si>
    <t>NAHB Contruction Labor Shortages</t>
  </si>
  <si>
    <t>http://nahbnow.com/2017/01/top-concern-for-builders-remains-unchanged-in-2017/</t>
  </si>
  <si>
    <t>Murder rates both sides of the border</t>
  </si>
  <si>
    <t>https://mises.org/blog/fbi-us-homicide-rate-51-year-low</t>
  </si>
  <si>
    <t>Crime rates of immigrants</t>
  </si>
  <si>
    <t>http://thehill.com/blogs/pundits-blog/crime/329589-the-truth-about-crime-illegal-immigrants-and-sanctuary-cities</t>
  </si>
  <si>
    <t>Prohibition equals violence</t>
  </si>
  <si>
    <t>http://reason.com/archives/2003/01/29/prohibition-violence</t>
  </si>
  <si>
    <t>Border Patrol 2013 Stats</t>
  </si>
  <si>
    <t>https://www.cbp.gov/sites/default/files/documents/U.S.%20Border%20Patrol%20Fiscal%20Year%202013%20Profile.pdf</t>
  </si>
  <si>
    <t>Border Patrol 2016 Stats</t>
  </si>
  <si>
    <t>https://www.cbp.gov/sites/default/files/assets/documents/2017-Jan/USBP%20Stats%20FY2016%20sector%20profile.pdf</t>
  </si>
  <si>
    <t>Cheated of pay</t>
  </si>
  <si>
    <t>https://www.texastribune.org/2016/12/16/undocumented-workers-finding-jobs-underground-econ/</t>
  </si>
  <si>
    <t>GAO Criminal Aliens</t>
  </si>
  <si>
    <t>https://www.gao.gov/new.items/d11187.pdf</t>
  </si>
  <si>
    <t>CATO on Illegal Immigrant Crimes</t>
  </si>
  <si>
    <t>https://www.cato.org/blog/there-no-evidence-illegal-immigrant-crime-wave-why-elusive-crime-wave-data-shows-frightening</t>
  </si>
  <si>
    <t>ICE Removals</t>
  </si>
  <si>
    <t>https://www.ice.gov/doclib/about/offices/ero/pdf/2014-ice-immigration-removals.pdf</t>
  </si>
  <si>
    <t>Illegal immigration brings crime</t>
  </si>
  <si>
    <t>http://www.nationalreview.com/article/455549/crime-illegal-immigration</t>
  </si>
  <si>
    <t>Five years for illegal entry</t>
  </si>
  <si>
    <t>http://www.newsweek.com/ankle-tags-and-jail-time-among-tough-immigration-proposals-gop-lawmakers-610389</t>
  </si>
  <si>
    <t>Illegal immigration population by year</t>
  </si>
  <si>
    <t>https://immigration.procon.org/view.source.php?sourceID=004438</t>
  </si>
  <si>
    <t>Securing America's Border Act</t>
  </si>
  <si>
    <t>https://judiciary.house.gov/wp-content/uploads/2018/01/011018-Securing-Americas-Future-Act-Final.pdf</t>
  </si>
  <si>
    <t>H-2B</t>
  </si>
  <si>
    <t>https://www.uscis.gov/working-united-states/temporary-workers/h-2b-non-agricultural-workers/cap-count-h-2b-nonimmigrants</t>
  </si>
  <si>
    <t>Number of drug trafficking offenses</t>
  </si>
  <si>
    <t>https://www.therecoveryvillage.com/drug-addiction/drug-trafficking-by-the-numbers/#gref</t>
  </si>
  <si>
    <t>Rape of migrant women</t>
  </si>
  <si>
    <t>https://www.pbs.org/wgbh/pages/frontline/social-issues/rape-in-the-fields/female-workers-face-rape-harassment-in-u-s-agriculture-industry/</t>
  </si>
  <si>
    <t>https://en.wikipedia.org/wiki/Sexual_assault_of_migrants_from_Latin_America_to_the_United_States</t>
  </si>
  <si>
    <t>Low wage workers cheated</t>
  </si>
  <si>
    <t>http://www.nytimes.com/2009/09/02/us/02wage.html</t>
  </si>
  <si>
    <t>Garment workers paid $6</t>
  </si>
  <si>
    <t>http://www.latimes.com/projects/la-fi-forever-21-factory-workers/</t>
  </si>
  <si>
    <t>Bracero history</t>
  </si>
  <si>
    <t>https://migration.ucdavis.edu/rmn/more.php?id=1112</t>
  </si>
  <si>
    <t>Birth tourism</t>
  </si>
  <si>
    <t>http://www.politifact.com/truth-o-meter/statements/2010/aug/06/lindsey-graham/illegal-immigrants-anchor-babies-birthright/</t>
  </si>
  <si>
    <t>Arizona economics</t>
  </si>
  <si>
    <t>Carlos Avelar, in gmail sent</t>
  </si>
  <si>
    <t>Migration across Mexico</t>
  </si>
  <si>
    <t>https://drive.google.com/file/d/0B2qOr5xTBM2TZDZhcWdrVjZKeVk/view</t>
  </si>
  <si>
    <t>In transit across mexico</t>
  </si>
  <si>
    <t>https://www.csmonitor.com/USA/2017/0928/The-face-of-migration-via-Mexico</t>
  </si>
  <si>
    <t>IRCA: Lessons of the Last U.S. Legalization Program</t>
  </si>
  <si>
    <t>https://www.migrationpolicy.org/article/irca-lessons-last-us-legalization-program</t>
  </si>
  <si>
    <t>MPP Staff</t>
  </si>
  <si>
    <t>http://mmp.opr.princeton.edu/mmpgroup/staff-en.aspx</t>
  </si>
  <si>
    <t>MPP Graphs</t>
  </si>
  <si>
    <t>http://mmp.opr.princeton.edu/results/results-en.aspx</t>
  </si>
  <si>
    <t>History of amnesties</t>
  </si>
  <si>
    <t>http://thehill.com/opinion/immigration/370772-with-amnesty-how-many-times-will-lindsey-graham-play-the-fool</t>
  </si>
  <si>
    <t>in Mexico</t>
  </si>
  <si>
    <t>"Of the estimated 50,000 people trafficked to the U.S. annually, approximately one third are poor Latin Americans sold to factories, fields, or brothels (Prostitution Research)."</t>
  </si>
  <si>
    <t>This equals about 17,000 migrants in the US alone</t>
  </si>
  <si>
    <t>Region</t>
  </si>
  <si>
    <t>US</t>
  </si>
  <si>
    <t>PPA Estimate</t>
  </si>
  <si>
    <t>Third Party Estimate</t>
  </si>
  <si>
    <t>Women at Risk</t>
  </si>
  <si>
    <t>"In one fairly typical case, caves made of reeds housed several young girls for prostitution. Their even younger children were held hostage so that the young mothers would not try to escape. Every day, hundreds of farm workers were transported to these camps for sex, considered a reward for a job well done (SPLC)."</t>
  </si>
  <si>
    <t>Forced Labor and Prostitution</t>
  </si>
  <si>
    <t>Depending on whether one would consider this rape or forced prostition, the number of rapes would comfortably in the thousands.  We have estimated excess US rapes (above normal US levels) at 4,000.  That number could be light by two orders of magnitude</t>
  </si>
  <si>
    <r>
      <t>"Women planning to cross the border often start taking birth control, expecting to be raped at least once during the crossing (SPLC). Some </t>
    </r>
    <r>
      <rPr>
        <i/>
        <sz val="11"/>
        <color rgb="FF444444"/>
        <rFont val="Calibri"/>
        <family val="2"/>
        <scheme val="minor"/>
      </rPr>
      <t xml:space="preserve">coyots </t>
    </r>
    <r>
      <rPr>
        <sz val="11"/>
        <color rgb="FF444444"/>
        <rFont val="Calibri"/>
        <family val="2"/>
        <scheme val="minor"/>
      </rPr>
      <t>consider the sexual assault and prostitution of women crossing over as a part of their payment for safe passage. Trees along the U.S.-Mexico border, called rape trees by some, testify to the validity of the women’s fear. The branches are dotted with the panties of women raped during the crossing, the tattered underwear displayed by abusers looking to show off their conquest to passersby (Latina News)."</t>
    </r>
  </si>
  <si>
    <t>This refers to rapes in the border zone itself, ie not in the Mexican interior.   If women routinely consider taking prophylactic birth control, then the incidents of rape have to be north of 30%</t>
  </si>
  <si>
    <r>
      <t>"Campesinas </t>
    </r>
    <r>
      <rPr>
        <sz val="11"/>
        <color rgb="FF444444"/>
        <rFont val="Calibri"/>
        <family val="2"/>
        <scheme val="minor"/>
      </rPr>
      <t>are 10 times more vulnerable than other employees to experience sexual assault and harassment at work (OVC).Many are poor women who send their money home to children and family members. They cannot afford to lose their jobs, a near certainty when women report sexual abuse in the workplace. They face language barriers and may not know their rights. Since many </t>
    </r>
    <r>
      <rPr>
        <i/>
        <sz val="11"/>
        <color rgb="FF444444"/>
        <rFont val="Calibri"/>
        <family val="2"/>
        <scheme val="minor"/>
      </rPr>
      <t>campesinas </t>
    </r>
    <r>
      <rPr>
        <sz val="11"/>
        <color rgb="FF444444"/>
        <rFont val="Calibri"/>
        <family val="2"/>
        <scheme val="minor"/>
      </rPr>
      <t>are undocumented, supervisors can exploit their fear of deportation to keep them from speaking up about their abuse."</t>
    </r>
  </si>
  <si>
    <t>Why numbers are likely to be materially under-reported</t>
  </si>
  <si>
    <t>60% of crossers</t>
  </si>
  <si>
    <t>These are not merely cases of one-off rape, but rather serial events of coerced sex.  It is a principal, but not only, reason the numbers are so high</t>
  </si>
  <si>
    <t>PBS Frontline</t>
  </si>
  <si>
    <t>"In Molalla, Ore., a worker at a tree farm accused her supervisor of repeatedly raping her over the course of several months in 2006 and 2007, often holding gardening shears to her throat. If she complained to anyone, he allegedly told her, he would fire her and kill her entire family."
"Three hundred miles away, in Lind, Wash., an egg farm manager forced a woman working alone in a hen-laying house to routinely give him oral sex to keep her job between 2003 and 2010, according to a statement she gave to the sheriff."</t>
  </si>
  <si>
    <t>Fusion</t>
  </si>
  <si>
    <t>"A staggering 80 percent of Central American girls and women crossing Mexico en route to the United States are raped along the way, according to directors of migrant shelters interviewed by Fusion."</t>
  </si>
  <si>
    <t>https://splinternews.com/is-rape-the-price-to-pay-for-migrant-women-chasing-the-1793842446</t>
  </si>
  <si>
    <t>80% is a high end estimate</t>
  </si>
  <si>
    <t>"Nonprofit groups and even the U.S. Office of Refugee Resettlement--which has custody of unaccompanied children--estimate that the vast majority of women and female children encounter some sort of sexual assault en route to the United States," she says. "It's become the norm, and in many cases with female children, they just assume that there's been some sort of incident."</t>
  </si>
  <si>
    <t>"Vast majority" is well over 50%</t>
  </si>
  <si>
    <t>https://www.tucsonweekly.com/tucson/price-of-admission/Content?oid=1091501</t>
  </si>
  <si>
    <t>US Office of Refugees quoted in Tuscon News</t>
  </si>
  <si>
    <t>Experts say the spike in violence against women is worst in areas hit hard by the drugs war, similar to what happens during civil wars like those in Colombia, Guatemala and El Salvador.
Women in conflict zones are often seen as “territory” to be conquered, and raping and murdering women a way to intimidate rival gangs and the local population. Authorities say victims are getting younger and the attacks more violent.</t>
  </si>
  <si>
    <t>There is quite a bit of collateral damage around black market zones linked largely to illicit drug traffic, and also to human trafficking</t>
  </si>
  <si>
    <t>https://www.reuters.com/article/us-mexico-violence-women/violence-against-women-pandemic-in-mexico-idUSBREA2608F20140307</t>
  </si>
  <si>
    <t>Reuters</t>
  </si>
  <si>
    <t xml:space="preserve"> Coyotes ...  "advise their female clients to go on birth control. That was the case for Maria Salinas, a petite 43-year-old who recently tried crossing with her 18-year-old daughter.
Salinas said at first she was confused when a guide at the start of the trip offered her and other women pills he said would prevent pregnancy. Later, it made more sense.
Once Salinas started walking with the group, she couldn’t keep up. One coyote said he’d help – on one condition.
“If I gave him my daughter, then he’d wait for me,” Salinas said. Meaning, if she let him have sex with her daughter. She refused, and he abandoned them. They only survived because they found Border Patrol."
</t>
  </si>
  <si>
    <t>This shows how even female migrants ostensibly traveling with family can be levered into providing sex -- and this without even the threat of force</t>
  </si>
  <si>
    <t>https://www.pbs.org/newshour/nation/facing-risk-rape-migrant-women-prepare-birth-control</t>
  </si>
  <si>
    <t>PBS News Hour</t>
  </si>
  <si>
    <t>Story Quote or Statistics</t>
  </si>
  <si>
    <t>Depending on whether one would consider this rape or forced prostition, the number of rapes would comfortably reach into the thousands.  We have estimated excess US rapes (above normal US levels) at 4,000.  That number could be light by two orders of magnitude</t>
  </si>
  <si>
    <t>During Migration</t>
  </si>
  <si>
    <t>This is a big issue in the US, it seems; the women don't want to talk about it.</t>
  </si>
  <si>
    <t>In the United States</t>
  </si>
  <si>
    <t>293 Salvadorans had been killed or gone missing in Mexico in the previous two years (2007 and 2008)</t>
  </si>
  <si>
    <t>Northern Triangle citizens were 8% of those apprehended or denied at the US border in 2007/2008</t>
  </si>
  <si>
    <t>https://www.statista.com/chart/10595/changing-face-of-southwest-border-apprehensions/</t>
  </si>
  <si>
    <t>150 dead and missing / 21% / 8%</t>
  </si>
  <si>
    <t>no estimate</t>
  </si>
  <si>
    <t>8900 (150 / 21% of all NT  into Mexico / 8% of crossers at US border)</t>
  </si>
  <si>
    <t>https://www.cbp.gov/sites/default/files/assets/documents/2017-Dec/USBP%20Stats%20FY2017%20sector%20profile.pdf</t>
  </si>
  <si>
    <t>US CBP Ytd, PPA forecast</t>
  </si>
  <si>
    <t>US - Mexico Border Crossing</t>
  </si>
  <si>
    <t xml:space="preserve">  Rate of Rape</t>
  </si>
  <si>
    <t xml:space="preserve">  Forecast Apprehensions 2018</t>
  </si>
  <si>
    <t>up to 300,000</t>
  </si>
  <si>
    <t xml:space="preserve">  Forecast Inadmissibles 2018</t>
  </si>
  <si>
    <t xml:space="preserve">      Apprehension Rate</t>
  </si>
  <si>
    <t>US - Number of Rapes</t>
  </si>
  <si>
    <t>Implied Number of Women and Girls Raped in Border Crossing</t>
  </si>
  <si>
    <t>Rododem</t>
  </si>
  <si>
    <t>implies 8900 imputed dead and missing in transit / year -- but this seems much too high</t>
  </si>
  <si>
    <t>Migrants, domestic and NT, could easily be 2-5% of this total, or 500  - 1,250 by this calculation, excluding crossing deaths cc 500</t>
  </si>
  <si>
    <t>https://www.theguardian.com/world/2017/dec/23/new-figures-reveal-2017-to-be-the-deadliest-year-in-mexicos-history</t>
  </si>
  <si>
    <t>https://www.azcentral.com/story/news/politics/border-issues/2017/12/14/investigation-border-patrol-undercounts-deaths-border-crossing-migrants/933689001/</t>
  </si>
  <si>
    <t>USA Today</t>
  </si>
  <si>
    <t>Arziona Central</t>
  </si>
  <si>
    <t>Actual border deaths are probably 50-100% higher than official border patrol statistics -- bearing in mind that many who die en route are never found.
This excludes migrants who died on the Mexican side of the border during the crossing.</t>
  </si>
  <si>
    <t>https://wayback.archive-it.org/all/20071025202011/http://www.ccis-ucsd.org/PUBLICATIONS/wrkg27.PDF</t>
  </si>
  <si>
    <t>Mexican deaths in transit</t>
  </si>
  <si>
    <t>https://www.cbp.gov/sites/default/files/assets/documents/2017-Dec/BP%20Southwest%20Border%20Sector%20Deaths%20FY1998%20-%20FY2017.pdf</t>
  </si>
  <si>
    <t>Border Patrol deaths southwest border</t>
  </si>
  <si>
    <t>Border Zone</t>
  </si>
  <si>
    <t>US side, just reported</t>
  </si>
  <si>
    <t>Border Patrol</t>
  </si>
  <si>
    <t xml:space="preserve">  Reported by Border Patrol</t>
  </si>
  <si>
    <t xml:space="preserve">  Under-report adjustment</t>
  </si>
  <si>
    <t xml:space="preserve">  Total Crossing Deaths</t>
  </si>
  <si>
    <t>Mexico - Interior</t>
  </si>
  <si>
    <t>PPA subjective estimate</t>
  </si>
  <si>
    <t>Total</t>
  </si>
  <si>
    <t>PPA estimate</t>
  </si>
  <si>
    <t>Murders + Border Crossing from above</t>
  </si>
  <si>
    <t>Total Deaths of Migrants, 2018 Estimate</t>
  </si>
  <si>
    <t>Border Patrol has recorded deaths in the 250 - 450 range in the last four years.  This includes principally US-side deaths.  Given enhanced enforcement and increased crossing numbers in 2018, deaths in the 350 range might be expected.</t>
  </si>
  <si>
    <t xml:space="preserve">  Un-reported deaths, Mexico side, percent of total</t>
  </si>
  <si>
    <t xml:space="preserve">  Bodies not found</t>
  </si>
  <si>
    <t xml:space="preserve">  Total Apprehensions -  Percent Female</t>
  </si>
  <si>
    <t xml:space="preserve">If we are speaking of ten armed men, then this is presumably a gang which is routinely involved in this activity.  </t>
  </si>
  <si>
    <t>not estimated</t>
  </si>
  <si>
    <t>In Mexico</t>
  </si>
  <si>
    <t xml:space="preserve">  Northern Triangle Migrants</t>
  </si>
  <si>
    <t>Organ Harvesting</t>
  </si>
  <si>
    <t>https://www.ranker.com/list/true-stories-of-people-whose-organs-were-stolen/harrison-tenpas</t>
  </si>
  <si>
    <t>Ranker</t>
  </si>
  <si>
    <t>No direct evidence this is of migrants, per se</t>
  </si>
  <si>
    <r>
      <t>Reports of a Mexico child organ trafficking ring emerged in 2014 when authorities </t>
    </r>
    <r>
      <rPr>
        <sz val="11"/>
        <color rgb="FF086CB8"/>
        <rFont val="Calibri"/>
        <family val="2"/>
        <scheme val="minor"/>
      </rPr>
      <t>suspected the</t>
    </r>
    <r>
      <rPr>
        <sz val="11"/>
        <color rgb="FF424242"/>
        <rFont val="Calibri"/>
        <family val="2"/>
        <scheme val="minor"/>
      </rPr>
      <t> Knights Templar </t>
    </r>
    <r>
      <rPr>
        <sz val="11"/>
        <color rgb="FF086CB8"/>
        <rFont val="Calibri"/>
        <family val="2"/>
        <scheme val="minor"/>
      </rPr>
      <t>cartel</t>
    </r>
    <r>
      <rPr>
        <sz val="11"/>
        <color rgb="FF424242"/>
        <rFont val="Calibri"/>
        <family val="2"/>
        <scheme val="minor"/>
      </rPr>
      <t> of kidnapping children and harvesting their organs for sale on the black market. Human organ trafficking is an issue in many developing countries where people are tricked into selling, and even donating, kidneys and other body parts. These organs are </t>
    </r>
    <r>
      <rPr>
        <sz val="11"/>
        <color rgb="FF086CB8"/>
        <rFont val="Calibri"/>
        <family val="2"/>
        <scheme val="minor"/>
      </rPr>
      <t>sold</t>
    </r>
    <r>
      <rPr>
        <sz val="11"/>
        <color rgb="FF424242"/>
        <rFont val="Calibri"/>
        <family val="2"/>
        <scheme val="minor"/>
      </rPr>
      <t>to wealthy foreigners who desperately need them.
However, in Mexico, this illegal trade took a disturbing turn when the organs being harvested started coming from kidnapped children. Mexican drug cartel trafficking is still a large problem, particularly in the areas bordering the United States, and it was made even worse when the cartels diversified into human trafficking. </t>
    </r>
  </si>
  <si>
    <t>The cartel's organ trafficking operation had come to light earlier that year after a group of vigilantes in the town of Tepalcatepec seized a refrigerated van that was carrying several captive children. The children, who were all from the same Mexico City school, were being taken to Lazaro Cardenas, Mexico's biggest Pacific Ocean port, where they were then to be sold off for their organs.</t>
  </si>
  <si>
    <t>“If they pay they pass, but if not they are beaten, raped, killed, or all of these,” says Dr. Javiar Barrio, of Doctors Without Borders. Barrio volunteers at a shelter for migrants in the town of Tenosique near the </t>
  </si>
  <si>
    <t>https://www.thedailybeast.com/the-border-crackdown-is-forcing-migrants-to-become-mexican-cartel-slaves</t>
  </si>
  <si>
    <t>https://www.insightcrime.org/news/brief/human-trafficking-drug-cartels-mexico/</t>
  </si>
  <si>
    <t>Insight Crime</t>
  </si>
  <si>
    <t>What percent of these are migrants?  20%?</t>
  </si>
  <si>
    <t>14,000? (20% of 70,000?)</t>
  </si>
  <si>
    <t>https://www.usatoday.com/story/news/world/2014/03/17/cartel-mexico-organ-trafficking/6548691/</t>
  </si>
  <si>
    <t>Police in Mexico's western state of Michoacan detained an alleged member of the Knights Templar cartel who is suspected of kidnapping children to harvest their organs</t>
  </si>
  <si>
    <t>Dr. Fernando Lopez-Neblina, a surgeon at a hospital in the border town of Mexicali, says that Mexico's attorney general has never uncovered a single case of forced organ harvesting. López-Neblina notes that the procedure of organ transplantation is highly complex and requires a specialized team of physicians.</t>
  </si>
  <si>
    <t>There have been isolated cases where it has been determined that organs, especially hearts and livers, have been extracted from children for the purposes of esoteric religious rituals linked to the cult of the so-called "Santa Muerte," or Saint Death or Holy Death.</t>
  </si>
  <si>
    <t>https://www.catholic.org/news/international/americas/story.php?id=56626</t>
  </si>
  <si>
    <t>https://www.catholic.org/news/international/americas/story.php?id=56627</t>
  </si>
  <si>
    <t>https://www.state.gov/j/tip/rls/tiprpt/countries/2016/258821.htm</t>
  </si>
  <si>
    <t>US Dept of State</t>
  </si>
  <si>
    <t>https://www.wilsoncenter.org/sites/default/files/final.pdf</t>
  </si>
  <si>
    <t>Wilson Center</t>
  </si>
  <si>
    <t>14,500 - 17,500</t>
  </si>
  <si>
    <t>US Dept of State via Council on Hemispheric Affairs, 2009</t>
  </si>
  <si>
    <t>http://www.coha.org/modern-day-slavery-in-mexico-and-the-united-states/</t>
  </si>
  <si>
    <t>This study seems to intimately link human smuggling (border jumping) to human trafficking for sex and labor.  Although no statistics are given, a 20% migrant share in Mexico would not seem unreasonable, and indeed, to understate the dimensions of the problem</t>
  </si>
  <si>
    <t>https://www.huffingtonpost.com/vladimir-hernandez/our-world-kidnapped-in-mexico_b_9462258.html</t>
  </si>
  <si>
    <t xml:space="preserve">  Mexicans</t>
  </si>
  <si>
    <t>PPA estimate of Mexican migrants</t>
  </si>
  <si>
    <t xml:space="preserve">  Rapes per Woman</t>
  </si>
  <si>
    <t>Implied Number of Rapes</t>
  </si>
  <si>
    <t>Catholic News</t>
  </si>
  <si>
    <t>Sporadic reports on organ harvesting have been noted in Mexico.  Organs -- prinicipally kidneys, livers and corneas -- are needed for both Mexico's indigenous waiting list of 100,000 patients and to serve the organ transplant 'tourist' market.  As can be seen on the kidnapping page, some 20,000 migrants are kidnapped and held for ransom each year, some for as little as $160.  Organs, by contrast, can be worth $5,000 - $20,000, thus providing a major incentive to harvest kidnapped migrants (and others) for their organs, to the extent a buyer can be found.  Very little is documented on this front.</t>
  </si>
  <si>
    <t>Number or Quote</t>
  </si>
  <si>
    <t>How many of these are Mexican migrants?  10%?  Mexican migrants will be highly exposed in the border zone, where many of the towns on the Mexican side are controlled by cartels.</t>
  </si>
  <si>
    <t>US Inadmissibles</t>
  </si>
  <si>
    <t>https://www.cbp.gov/newsroom/stats/sw-border-migration</t>
  </si>
  <si>
    <t>Customs Border Patrol, PPA estimates for 2018 based on ytd data.</t>
  </si>
  <si>
    <t>Those seeking asylum without proper documentation, anticipated around 100,000 this year.  The caravan moving north in Mexico constitutes 'inadmissibles', as they are likely to present themselves at official crossing points.  Clearly, a multi-week trek is both physically and emotionally exhausting, and returning to NT countries will prove a traumatic failure for many involved</t>
  </si>
  <si>
    <t>US Apprehensions</t>
  </si>
  <si>
    <t>These are border jumpers apprehended, probably something less than 500,000 persons.  In many cases, the women will have been raped and the men robbed or have carried drugs.  Some will have been kidnapped.  Failing to gain entry to the US will involve loss of the coyote fee and potentially emotional trauma.</t>
  </si>
  <si>
    <t>Coyote fees are quoted in a wide range and depend on conditions.  Fees are generally in the $1500 - $4000 range for a border crossing into the US, nearer the higher range recently with enhanced border protection.  At $2.50 / hr wage in Mexico, this represents perhaps a half year's work or more.  A failed crossing is expensive.</t>
  </si>
  <si>
    <t>Accepted prosecutions</t>
  </si>
  <si>
    <t>Incarceration</t>
  </si>
  <si>
    <t>Some of those attempting to cross the border will be arrested and charged, leading to extensive jail time, whether or not they are ultimately convicted.</t>
  </si>
  <si>
    <t>Customs and Border Patrol</t>
  </si>
  <si>
    <t>CBP initiated 74,000 prosecutions against border crossers in 2016, some of which are immigration-related,  and others may have a larger drug smuggling aspect.  Detention can amount to months, and certainly years in the case of conviction.  
This excludes deportation proceedings from the US interior.
This also excludes those who may have been charged locally under municipal or state laws.</t>
  </si>
  <si>
    <t>900 - 1600: 2-5% of Mexico's 25,000 murders; if it were 10% of just those kidnapped, this number could reach 3,000</t>
  </si>
  <si>
    <t xml:space="preserve">  Inadmissibles</t>
  </si>
  <si>
    <t xml:space="preserve">  Apprehensions (less accepted prosecutions)</t>
  </si>
  <si>
    <t xml:space="preserve">  Less: Retries</t>
  </si>
  <si>
    <t>?</t>
  </si>
  <si>
    <t>200,000?</t>
  </si>
  <si>
    <t>https://cis.org/sites/cis.org/files/Border-Crossing-Stats-Report.pdf</t>
  </si>
  <si>
    <t xml:space="preserve">  Less: Retires</t>
  </si>
  <si>
    <t>Total Mexico</t>
  </si>
  <si>
    <t>100,000?</t>
  </si>
  <si>
    <t>60,000?</t>
  </si>
  <si>
    <t>Total US</t>
  </si>
  <si>
    <t>https://openborders.info/human-smuggling-fees/</t>
  </si>
  <si>
    <t>Open Borders</t>
  </si>
  <si>
    <t xml:space="preserve">  Accepted Federal Prosecutions</t>
  </si>
  <si>
    <t xml:space="preserve">  State and Local Prosecutions</t>
  </si>
  <si>
    <t>Of approximately 32,000 migrants surveyed in Mexican shelters in 2016, 0.5% reported being battered</t>
  </si>
  <si>
    <t>Of approximately 32,000 migrants surveyed in Mexican shelters in 2016, 10.1% reported being robbed</t>
  </si>
  <si>
    <t>This covers only those in shelters which are located principally between the southern Mexican border and Mexico city, ie, these migrants were on average about 1/3 of the way through Mexico.  On this basis, allow 1.5% for the entire journey
Nevertheless, this number seems quite low compared to other numbers in this diligence</t>
  </si>
  <si>
    <t>Adverse Events</t>
  </si>
  <si>
    <t>Rape</t>
  </si>
  <si>
    <t>Kidnapping and extortion</t>
  </si>
  <si>
    <t>Human trafficking</t>
  </si>
  <si>
    <t>Exclusive of assault associated with rape or kidnapping</t>
  </si>
  <si>
    <t>A little documented, but gruesome, activity which is presumed, but not shown, to be a realized risk for migrants</t>
  </si>
  <si>
    <t>Accidental death (not measured); murder; death in the desert crossing</t>
  </si>
  <si>
    <t>Including theft</t>
  </si>
  <si>
    <t>Those held in detention for an extended period of time, at least several weeks, but extending to months or years, with or without conviction for an offense, related to border crossing, including drug smuggling, resisting arrest, forgery, obstruction of justice, breaking and entering, etc.  This excludes those arrested in the interior of the US subsequent to crossing.</t>
  </si>
  <si>
    <t>Predation occurs when a migrant enters a jurisdication without proper authorization Under such circumstances, migrants are vulnerable to predation by both criminals and law enforcement.  With respect to the southwest US border, predation occurs in four zones.</t>
  </si>
  <si>
    <t>Those who make it to the US interior are still subject to predation, some of which is well-documented.</t>
  </si>
  <si>
    <t>Drug Smuggling</t>
  </si>
  <si>
    <t>Smuggling forced upon economic migrants as a condition of conveyance into the US.</t>
  </si>
  <si>
    <t>Implied Trips</t>
  </si>
  <si>
    <t xml:space="preserve">  Assumed Interdiction Rate</t>
  </si>
  <si>
    <t>Total Crossing Attempts (excluding inadmissibles)</t>
  </si>
  <si>
    <t>http://www.nbcnews.com/id/33433955/ns/us_news-crime_and_courts/t/illegal-drugs-flow-over-under-us-border/#.Ws06-i7waUk</t>
  </si>
  <si>
    <t>Percent Professional Smugglers</t>
  </si>
  <si>
    <t>Trips / Professional / Year</t>
  </si>
  <si>
    <t>Assumed value</t>
  </si>
  <si>
    <t>Volumes carried by Professionals</t>
  </si>
  <si>
    <t xml:space="preserve">  Standard backpack weight for smugglers (lbs)</t>
  </si>
  <si>
    <t>Volumes carried by economic migrants</t>
  </si>
  <si>
    <t>Implied number of Professional Smugglers</t>
  </si>
  <si>
    <t>https://www.cbp.gov/newsroom/stats/cbp-enforcement-statistics</t>
  </si>
  <si>
    <t>Percent of Trips Carrying Drugs</t>
  </si>
  <si>
    <t>Assuming full 40 lb loads each, not more people carrying smaller loads</t>
  </si>
  <si>
    <t>The number of drug smugglers can be imputed from anticipated drug volumes, interdiction rates, average loads / carrier, and ratios of professionals to amatuers</t>
  </si>
  <si>
    <t>Implied number of economic migrants coerced into or opportunistically carrying drugs into the US</t>
  </si>
  <si>
    <t xml:space="preserve">  Border Patrol seizures (away from official crossing points), in pounds, 2018 F</t>
  </si>
  <si>
    <t>This is an example of a murder away from the border zone.  The narrative creates the impression that this was something of an industrial operation.  One gets the sense that migrants were routinely killed here.
We estimate 20,000 NT kidnappings per year.  A 5-10% murder rate does not seem improbable, implying as many as 1,000 - 2,000 NT migrants could be killed related to kidnappings alone.  
This excludes Mexican migrants.</t>
  </si>
  <si>
    <t>Extended Incarceration</t>
  </si>
  <si>
    <t>International Organization for Migration</t>
  </si>
  <si>
    <t>https://publications.iom.int/system/files/pdf/fatal_journeys_3_part2.pdf</t>
  </si>
  <si>
    <t>"Mexico’s Human Rights Commission published a report detailing the discovery of 855 clandestine graves containing 1,548 human cadavers (CNDH, 2017). The report also notes a total of 35,958 unidentified human remains found in the states of Coahuila, Colima, Nuevo Leon and Veracruz, all states controlled by the Zeta Cartel. Activists insist that many of the bodies are likely Central Americans, who will remain disappeared unless identification of the remains is possible."</t>
  </si>
  <si>
    <t>If we assume 60% of these victims were migrants, then that's about 21,000 migrants killed over perhaps 10 years, or possibly 2,000 / year.   This would be in addition to reported deaths in the Mexican interior and all deaths in the desert crossing.</t>
  </si>
  <si>
    <t>https://www.nytimes.com/2017/11/20/world/americas/mexico-drug-war-dead.html</t>
  </si>
  <si>
    <t>NY Times</t>
  </si>
  <si>
    <t>"In 2012, leaked documents showed that the government believed there to be a total of 25,000 people missing across the country, perhaps the first time any official recognition of the problem surfaced. This year, the tally climbed to nearly 33,000."</t>
  </si>
  <si>
    <t>Essentially, an undocumented alien in any country lacks meaningful protection of the law, and indeed actively seeks to avoid detection and interaction with law enforcement.  This makes such migrants susceptible to predation, which in our case, includes law enforcement actions, which, from the migrant's perspective, is just another risk of operating without proper documentation.  The types of predation run the gamut of crime and misfortune.  On this page, we consider death, notably due to murder and as a result of the desert crossing into the US.</t>
  </si>
  <si>
    <t>https://www.nst.com.my/world/2017/09/281338/mexico-mothers-dig-through-nations-dirt-missing-children</t>
  </si>
  <si>
    <t>"At the Santa Fe site, 137 graves have been found so far, containing 280 bodies. Just nine have been identified."</t>
  </si>
  <si>
    <t>New Straits Times</t>
  </si>
  <si>
    <t>Mass grave in Veracruz found by Solecito, a mothers' group searching for the remains of family members, mostly children.  The mothers' received a tip about the site -- presumed to be from remorseful killers.  This was presumably the graveyard of just one local gang.  It certainly creates the impression that killing people is absolutely routine.</t>
  </si>
  <si>
    <t>Those who are arrested, denied entry, or turn back without attempting the border.  At a minimum, this will result in a loss of six months' wages in coyote fees and the time of transit</t>
  </si>
  <si>
    <t>Including coerced sex as payment for coyote fees</t>
  </si>
  <si>
    <t>Adverse Events experienced by Illegal Migrants</t>
  </si>
  <si>
    <t>Expected for 2018 and under an MBV Program</t>
  </si>
  <si>
    <t>Current</t>
  </si>
  <si>
    <t>MBV Program</t>
  </si>
  <si>
    <t>"an investigation by the USA TODAY NETWORK has found many migrant deaths are never accounted for — including when bodies are discovered by sheriff’s deputies, police, ranchers, hikers and humanitarian groups.
Hundreds of border deaths involving migrants were not included in official Border Patrol statistics over the past five years, from 2012 to 2016. In New Mexico, for example, the number of migrant deaths found by the network was nearly four times higher than the official count, while in California there were 60 percent more deaths than the Border Patrol reported. In Arizona, the number of deaths found by the USA TODAY NETWORK was 25 percent higher for the five-year period, but some years it was 100 percent higher. "</t>
  </si>
  <si>
    <t>“All the time they swore at us, slapped us, pushed and kicked us all over and hit us with a whip, they covered our eyes and mouths… they killed my friend because she didn’t have any [relatives] to help her and she couldn’t given them [phone] numbers, so they shot her twice in the head and they left her bleeding in front of me for three hours to intimidate me... The place they held me captive is a big, dark, dirty house that smelled bad. The two days I was there I slept on the ground with no blanket. They only gave me something to eat once and a little water. The men who kidnapped me also stripped me naked and raped me. In that place, I heard the whole time the moans, cries and groans of other people”. Salvadoran woman quoted in the 2009 CNDH special report on kidnapping"</t>
  </si>
  <si>
    <t>Princeton Policy estimate is 2,000 dead per year</t>
  </si>
  <si>
    <t>This is neither confirmed dead nor either identified nor unidentified remains.  This is only those listed as missing.
Some in this category will no doubt be included in the unidentified remains noted immediately above.  But it suggests many more bodies are yet to be found, and the death toll is probably higher than our estimates.</t>
  </si>
  <si>
    <t>"100000.  The first time I came across this number as an estimate of kidnappings in Mexico throughout a whole year, I simply couldn’t believe it."</t>
  </si>
  <si>
    <t>"Many fall victim to assaults and abduction. Ana and her brothers were captured by 10 armed men and taken to an unknown ranch. Ana told Amnesty International that she was kept in a room alone from where she could hear the screams of her brothers as they were beaten with a wooden plank. She was then told that she would be beaten and raped by each member of the gang until she provided phone numbers of relatives who would pay a ransom for their release. One of the armed men forced her to the ground violently and threatened to rape her. Ana pushed him away repeatedly and he eventually left her alone. Ana said that she and her brothers were released four days later. They were so traumatized by their ordeal that they handed themselves to the INM in order to be repatriated."</t>
  </si>
  <si>
    <t>Huffington Post</t>
  </si>
  <si>
    <t>Daily Beast</t>
  </si>
  <si>
    <r>
      <t>"According to Excelsior, 70,000 people become victims of </t>
    </r>
    <r>
      <rPr>
        <sz val="11"/>
        <color rgb="FF135E84"/>
        <rFont val="Calibri"/>
        <family val="2"/>
        <scheme val="minor"/>
      </rPr>
      <t>human trafficking</t>
    </r>
    <r>
      <rPr>
        <sz val="11"/>
        <color rgb="FF3B3B3B"/>
        <rFont val="Calibri"/>
        <family val="2"/>
        <scheme val="minor"/>
      </rPr>
      <t> every year in </t>
    </r>
    <r>
      <rPr>
        <sz val="11"/>
        <color rgb="FF135E84"/>
        <rFont val="Calibri"/>
        <family val="2"/>
        <scheme val="minor"/>
      </rPr>
      <t>Mexico</t>
    </r>
    <r>
      <rPr>
        <sz val="11"/>
        <color rgb="FF3B3B3B"/>
        <rFont val="Calibri"/>
        <family val="2"/>
        <scheme val="minor"/>
      </rPr>
      <t>."</t>
    </r>
  </si>
  <si>
    <t>"The vast majority of foreign victims of forced labor and sex trafficking in Mexico are from Central and South America. Victims from the Caribbean, Eastern Europe, Asia, and Africa have also been identified in Mexico, some en route to the United States. Child sex tourism remains a problem, especially in tourist areas and in northern border cities"</t>
  </si>
  <si>
    <t>"Cases of sex trafficking and labor trafficking along Mexico’s eastern migration routes—that involve Mexican drug cartels and other criminal groups—are intimately linked to migrant smuggling. • Massive forced displacements of Central American people escaping from violence and extreme poverty significantly increase vulnerability of victims of human trafficking."</t>
  </si>
  <si>
    <t>"according to the U.S. State Department, between 14,500 and 17,500 individuals are trafficked into the United States with a large percentage of these victims originating from or traveling through Mexico."</t>
  </si>
  <si>
    <t>"the train was intercepted by INM agents supported by 50 members of the Mexican Navy armed with rifles and batons. According to the photographer and other eyewitnesses, the migrants tried to flee, but navy personnel chased them and beat them with batons, forcing them to the ground."</t>
  </si>
  <si>
    <t>"On 23 January 2010, three Federal Police vehicles stopped a freight train carrying more than 100 irregular migrants. The train was travelling from Arriaga, Chiapas state, to Ciudad Ixtepec, Oaxaca state. According to several migrants, uniformed and armed police forced the migrants to get off the train and lie face down, and then stole their belongings."</t>
  </si>
  <si>
    <t>"Unauthorized Mexican immigrants usually pay $4,000 to cross the border on foot or $9,000 by boat [29] and there are an estimated 6.6 million of them living in the U.S. as of 2010. [30] The smuggling fee for unauthorized Central Americanimmigrants is currently between $7,000 and $10,000. [31] In 2010, there were an estimated 1.5million unauthorized immigrants from El Salvador, Guatemala, and Honduras residing in the U.S."</t>
  </si>
  <si>
    <t>"Many fall victim to assaults and abduction. Ana and her brothers were captured by 10 armed men and taken to an unknown ranch. Ana told Amnesty International that she was kept in a room alone from where she could hear the screams of her brothers as they were beaten with a wooden plank. She was then told that she would be beaten and raped by each member of the gang until she provided phone numbers of relatives who would pay a ransom for their release. One of the armed men forced her to the
ground violently and threatened to rape her. Ana pushed him away repeatedly and he eventually left her alone. Ana said that she and her brothers were released four days later. They were so traumatized by their ordeal that they handed themselves to the INM in order to be repatriated."</t>
  </si>
  <si>
    <t xml:space="preserve">  Gross smuggled drug volumes (lbs)</t>
  </si>
  <si>
    <t>Reduction*</t>
  </si>
  <si>
    <t>* Pro forma expectations for the elimination of a black market pathology through liberalization and taxation are typically in the 95% range historically.</t>
  </si>
  <si>
    <t>Assaults appear to happen primarily in the context of robberies and kidnapping.  We consider only stand-alone assaults here</t>
  </si>
  <si>
    <t>Migrants will run the guantlet, with gangs and predators looking to rob them at every turn</t>
  </si>
  <si>
    <t>As opposed to human smuggling, human trafficking involves bringing in persons for forced labor or prostitution, often as payment for coyote fees</t>
  </si>
  <si>
    <t>Some migrants are tricked into prostitution or forced labor after having been promised other positions; sometimes forced labor or prostitution are payments for coyote fees</t>
  </si>
  <si>
    <t>Honduras</t>
  </si>
  <si>
    <t>El Salvador</t>
  </si>
  <si>
    <t>All Others</t>
  </si>
  <si>
    <t>SW Border Arrests by Nationality</t>
  </si>
  <si>
    <t>Mexicans</t>
  </si>
  <si>
    <t>Central Americans</t>
  </si>
  <si>
    <t>Others</t>
  </si>
  <si>
    <t>2017 Ratio</t>
  </si>
  <si>
    <t>2018 Expected</t>
  </si>
  <si>
    <t>2018 Expected Apprehensions</t>
  </si>
  <si>
    <t>Apprehension Rate</t>
  </si>
  <si>
    <t>2018 Illegal Crossing Attempts</t>
  </si>
  <si>
    <t>2018 Inadmissibles</t>
  </si>
  <si>
    <t>Male</t>
  </si>
  <si>
    <t>Female</t>
  </si>
  <si>
    <t>Apprehensions by Gender, 2017</t>
  </si>
  <si>
    <t>2018 Illegal Crossing Attempts by Gender</t>
  </si>
  <si>
    <t>Illegal Crossers</t>
  </si>
  <si>
    <t>Inadmissibles</t>
  </si>
  <si>
    <t>Gender Adjustment</t>
  </si>
  <si>
    <t>Assault / Robbery</t>
  </si>
  <si>
    <t>unknown</t>
  </si>
  <si>
    <t>This covers only those in shelters which are located principally between the southern Mexican border and Mexico city, ie, these migrants were on average about 1/3 of the way through Mexico.  On this basis, allow 20% for the entire journey</t>
  </si>
  <si>
    <t>Rape / Coerced Sex</t>
  </si>
  <si>
    <t>Rate of Predation</t>
  </si>
  <si>
    <t>Coyote Fee</t>
  </si>
  <si>
    <t>Border Apprehension</t>
  </si>
  <si>
    <t>Percent of Total</t>
  </si>
  <si>
    <t>Average Wage</t>
  </si>
  <si>
    <t>Payback Period (Months)</t>
  </si>
  <si>
    <t>_______________</t>
  </si>
  <si>
    <t>Risk during Crossing</t>
  </si>
  <si>
    <t>Risk Adjusted Cost of Entering the US Illegally over the SW Border</t>
  </si>
  <si>
    <t>Total*</t>
  </si>
  <si>
    <t>Cost Subtotal</t>
  </si>
  <si>
    <t>Risk  + Gender Adj. Cost</t>
  </si>
  <si>
    <t>Abandoned effort</t>
  </si>
  <si>
    <t>Lost Wages / Trip Expenses</t>
  </si>
  <si>
    <t>Multiple of Border Apprehension</t>
  </si>
  <si>
    <t>Abandoned Trip</t>
  </si>
  <si>
    <t>Type of Predation</t>
  </si>
  <si>
    <t>Arrested in US or Mexico</t>
  </si>
  <si>
    <t>Total (incl. Abandoned Trip)</t>
  </si>
  <si>
    <t>Total (excl. Abandoned Trip)</t>
  </si>
  <si>
    <t>Migrant Predation Probabilities and Expected Values for 2018</t>
  </si>
  <si>
    <t>Migrant Population Numbers from Various Sources</t>
  </si>
  <si>
    <t>Total including Arrest and Turn Around</t>
  </si>
  <si>
    <t>"They can render a body to a skeleton in about five hours," with up to 35 black vulturesfeasting on a human body at once, Spradley said.</t>
  </si>
  <si>
    <t>Bodies can dissappear in the desert in a matter of days, making death counts hard</t>
  </si>
  <si>
    <t>De Leon has run experiments with pigs in the Arizona desert, USA Today</t>
  </si>
  <si>
    <t>https://www.azcentral.com/story/news/politics/border-issues/2018/07/05/what-dead-pigs-teach-us-missing-migrants-arizona-desert/736627002/</t>
  </si>
  <si>
    <t>Accepted prosecutions 2016</t>
  </si>
  <si>
    <t>Estimates as of August 20, 2018</t>
  </si>
  <si>
    <t>As of August 20, 2018</t>
  </si>
  <si>
    <t>in the US (Border Zone)</t>
  </si>
  <si>
    <t>Migrant Predation / Victimization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</si>
</sst>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_(&quot;$&quot;* #,##0_);_(&quot;$&quot;* \(#,##0\);_(&quot;$&quot;* &quot;-&quot;??_);_(@_)"/>
  </numFmts>
  <fonts count="28"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b/>
      <sz val="8.8000000000000007"/>
      <color rgb="FF555555"/>
      <name val="Arial"/>
      <family val="2"/>
    </font>
    <font>
      <sz val="10"/>
      <name val="Arial"/>
      <family val="2"/>
    </font>
    <font>
      <i/>
      <sz val="11"/>
      <color rgb="FF444444"/>
      <name val="Calibri"/>
      <family val="2"/>
      <scheme val="minor"/>
    </font>
    <font>
      <sz val="11"/>
      <color rgb="FF444444"/>
      <name val="Calibri"/>
      <family val="2"/>
      <scheme val="minor"/>
    </font>
    <font>
      <sz val="14"/>
      <color rgb="FF485B70"/>
      <name val="Arial"/>
      <family val="2"/>
    </font>
    <font>
      <sz val="11"/>
      <color rgb="FF424242"/>
      <name val="Calibri"/>
      <family val="2"/>
      <scheme val="minor"/>
    </font>
    <font>
      <sz val="11"/>
      <color rgb="FF086CB8"/>
      <name val="Calibri"/>
      <family val="2"/>
      <scheme val="minor"/>
    </font>
    <font>
      <sz val="11"/>
      <color rgb="FF135E84"/>
      <name val="Calibri"/>
      <family val="2"/>
      <scheme val="minor"/>
    </font>
    <font>
      <sz val="11"/>
      <color rgb="FF3B3B3B"/>
      <name val="Calibri"/>
      <family val="2"/>
      <scheme val="minor"/>
    </font>
    <font>
      <sz val="14"/>
      <color rgb="FF000000"/>
      <name val="Arial"/>
      <family val="2"/>
    </font>
    <font>
      <sz val="18"/>
      <color theme="1"/>
      <name val="Calibri"/>
      <family val="2"/>
      <scheme val="minor"/>
    </font>
    <font>
      <u val="singleAccounting"/>
      <sz val="11"/>
      <color theme="1"/>
      <name val="Calibri"/>
      <family val="2"/>
      <scheme val="minor"/>
    </font>
    <font>
      <b/>
      <i/>
      <sz val="11"/>
      <color theme="1"/>
      <name val="Calibri"/>
      <family val="2"/>
      <scheme val="minor"/>
    </font>
    <font>
      <i/>
      <sz val="10"/>
      <color theme="1"/>
      <name val="Calibri"/>
      <family val="2"/>
      <scheme val="minor"/>
    </font>
    <font>
      <b/>
      <i/>
      <sz val="10"/>
      <color theme="1"/>
      <name val="Calibri"/>
      <family val="2"/>
      <scheme val="minor"/>
    </font>
    <font>
      <i/>
      <sz val="9"/>
      <color theme="1"/>
      <name val="Calibri"/>
      <family val="2"/>
      <scheme val="minor"/>
    </font>
    <font>
      <b/>
      <i/>
      <sz val="9"/>
      <color theme="1"/>
      <name val="Calibri"/>
      <family val="2"/>
      <scheme val="minor"/>
    </font>
    <font>
      <u/>
      <sz val="11"/>
      <color theme="1"/>
      <name val="Calibri"/>
      <family val="2"/>
      <scheme val="minor"/>
    </font>
    <font>
      <b/>
      <u val="singleAccounting"/>
      <sz val="11"/>
      <color theme="1"/>
      <name val="Calibri"/>
      <family val="2"/>
      <scheme val="minor"/>
    </font>
    <font>
      <b/>
      <sz val="16"/>
      <color theme="1"/>
      <name val="Calibri"/>
      <family val="2"/>
      <scheme val="minor"/>
    </font>
    <font>
      <sz val="11"/>
      <color theme="0"/>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5"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8" fillId="0" borderId="0"/>
    <xf numFmtId="44" fontId="6" fillId="0" borderId="0" applyFont="0" applyFill="0" applyBorder="0" applyAlignment="0" applyProtection="0"/>
  </cellStyleXfs>
  <cellXfs count="140">
    <xf numFmtId="0" fontId="0" fillId="0" borderId="0" xfId="0"/>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3" fillId="0" borderId="0" xfId="0" applyFont="1"/>
    <xf numFmtId="0" fontId="2" fillId="2" borderId="0" xfId="0" applyFont="1" applyFill="1" applyAlignment="1">
      <alignment horizontal="center"/>
    </xf>
    <xf numFmtId="0" fontId="5" fillId="0" borderId="0" xfId="1" applyAlignment="1">
      <alignment vertical="top" wrapText="1"/>
    </xf>
    <xf numFmtId="0" fontId="2" fillId="2" borderId="0" xfId="0" applyFont="1" applyFill="1" applyAlignment="1">
      <alignment horizontal="center"/>
    </xf>
    <xf numFmtId="0" fontId="2" fillId="2" borderId="0" xfId="0" applyFont="1" applyFill="1" applyAlignment="1">
      <alignment horizontal="center"/>
    </xf>
    <xf numFmtId="0" fontId="5" fillId="0" borderId="0" xfId="1"/>
    <xf numFmtId="0" fontId="7" fillId="0" borderId="0" xfId="0" applyFont="1" applyAlignment="1"/>
    <xf numFmtId="164" fontId="0" fillId="0" borderId="0" xfId="2" applyNumberFormat="1" applyFont="1"/>
    <xf numFmtId="164" fontId="0" fillId="0" borderId="0" xfId="2" applyNumberFormat="1" applyFont="1" applyAlignment="1"/>
    <xf numFmtId="0" fontId="0" fillId="0" borderId="0" xfId="0" applyFont="1" applyAlignment="1">
      <alignment vertical="top" wrapText="1"/>
    </xf>
    <xf numFmtId="0" fontId="11" fillId="0" borderId="0" xfId="0" applyFont="1" applyAlignment="1">
      <alignment vertical="center" wrapText="1"/>
    </xf>
    <xf numFmtId="0" fontId="2" fillId="3" borderId="0" xfId="0" applyFont="1" applyFill="1" applyAlignment="1">
      <alignment horizontal="center"/>
    </xf>
    <xf numFmtId="0" fontId="5" fillId="0" borderId="0" xfId="1" applyAlignment="1"/>
    <xf numFmtId="0" fontId="0" fillId="3" borderId="0" xfId="0" applyFill="1"/>
    <xf numFmtId="0" fontId="0" fillId="0" borderId="0" xfId="0" applyAlignment="1">
      <alignment vertical="center" wrapText="1"/>
    </xf>
    <xf numFmtId="0" fontId="0" fillId="0" borderId="0" xfId="0" applyAlignment="1">
      <alignment horizontal="right" vertical="top" wrapText="1"/>
    </xf>
    <xf numFmtId="0" fontId="16" fillId="0" borderId="0" xfId="0" applyFont="1"/>
    <xf numFmtId="0" fontId="0" fillId="0" borderId="0" xfId="0" applyAlignment="1">
      <alignment vertical="center"/>
    </xf>
    <xf numFmtId="165" fontId="0" fillId="0" borderId="0" xfId="3" applyNumberFormat="1" applyFont="1"/>
    <xf numFmtId="43" fontId="0" fillId="0" borderId="0" xfId="2" applyNumberFormat="1" applyFont="1"/>
    <xf numFmtId="10" fontId="0" fillId="0" borderId="0" xfId="0" applyNumberFormat="1" applyAlignment="1"/>
    <xf numFmtId="0" fontId="0" fillId="3" borderId="0" xfId="0" applyFill="1" applyAlignment="1">
      <alignment wrapText="1"/>
    </xf>
    <xf numFmtId="164" fontId="0" fillId="3" borderId="0" xfId="2" applyNumberFormat="1" applyFont="1" applyFill="1"/>
    <xf numFmtId="0" fontId="3" fillId="3" borderId="0" xfId="0" applyFont="1" applyFill="1"/>
    <xf numFmtId="0" fontId="4" fillId="3" borderId="0" xfId="0" applyFont="1" applyFill="1"/>
    <xf numFmtId="0" fontId="0" fillId="3" borderId="0" xfId="0" applyFill="1" applyAlignment="1">
      <alignment vertical="top" wrapText="1"/>
    </xf>
    <xf numFmtId="0" fontId="1" fillId="0" borderId="0" xfId="0" applyFont="1" applyAlignment="1">
      <alignment horizontal="left" vertical="center" wrapText="1"/>
    </xf>
    <xf numFmtId="164" fontId="1" fillId="0" borderId="0" xfId="2" applyNumberFormat="1" applyFont="1" applyAlignment="1">
      <alignment horizontal="right" vertical="center"/>
    </xf>
    <xf numFmtId="0" fontId="1" fillId="0" borderId="0" xfId="0" applyFont="1" applyAlignment="1">
      <alignment vertical="center"/>
    </xf>
    <xf numFmtId="164" fontId="0" fillId="0" borderId="0" xfId="2" applyNumberFormat="1" applyFont="1" applyAlignment="1">
      <alignment vertical="center"/>
    </xf>
    <xf numFmtId="0" fontId="0" fillId="0" borderId="0" xfId="0" applyAlignment="1">
      <alignment horizontal="right" vertical="center"/>
    </xf>
    <xf numFmtId="9" fontId="0" fillId="0" borderId="0" xfId="0" applyNumberFormat="1" applyAlignment="1">
      <alignment vertical="center"/>
    </xf>
    <xf numFmtId="164" fontId="1" fillId="0" borderId="0" xfId="2" applyNumberFormat="1" applyFont="1" applyAlignment="1">
      <alignment vertical="center"/>
    </xf>
    <xf numFmtId="165" fontId="0" fillId="0" borderId="0" xfId="3" applyNumberFormat="1" applyFont="1" applyAlignment="1">
      <alignment vertical="center"/>
    </xf>
    <xf numFmtId="9" fontId="0" fillId="0" borderId="0" xfId="3" applyNumberFormat="1" applyFont="1" applyAlignment="1">
      <alignment vertical="center"/>
    </xf>
    <xf numFmtId="164" fontId="0" fillId="0" borderId="0" xfId="2" applyNumberFormat="1" applyFont="1" applyAlignment="1">
      <alignment horizontal="right" vertical="center"/>
    </xf>
    <xf numFmtId="0" fontId="0" fillId="3" borderId="0" xfId="0" applyFill="1" applyAlignment="1"/>
    <xf numFmtId="0" fontId="1" fillId="3" borderId="0" xfId="0" applyFont="1" applyFill="1" applyAlignment="1">
      <alignment vertical="top"/>
    </xf>
    <xf numFmtId="164" fontId="0" fillId="3" borderId="0" xfId="2" applyNumberFormat="1" applyFont="1" applyFill="1" applyAlignment="1">
      <alignment horizontal="right"/>
    </xf>
    <xf numFmtId="164" fontId="0" fillId="3" borderId="0" xfId="2" applyNumberFormat="1" applyFont="1" applyFill="1" applyAlignment="1">
      <alignment horizontal="right" vertical="top" wrapText="1"/>
    </xf>
    <xf numFmtId="0" fontId="5" fillId="3" borderId="0" xfId="1" applyFill="1" applyAlignment="1">
      <alignment vertical="top" wrapText="1"/>
    </xf>
    <xf numFmtId="0" fontId="1" fillId="3" borderId="0" xfId="0" applyFont="1" applyFill="1" applyAlignment="1"/>
    <xf numFmtId="9" fontId="0" fillId="3" borderId="0" xfId="3" applyFont="1" applyFill="1" applyAlignment="1">
      <alignment horizontal="right"/>
    </xf>
    <xf numFmtId="164" fontId="1" fillId="3" borderId="0" xfId="2" applyNumberFormat="1" applyFont="1" applyFill="1" applyAlignment="1">
      <alignment horizontal="right"/>
    </xf>
    <xf numFmtId="164" fontId="0" fillId="3" borderId="0" xfId="2" applyNumberFormat="1" applyFont="1" applyFill="1" applyAlignment="1"/>
    <xf numFmtId="164" fontId="1" fillId="3" borderId="0" xfId="2" applyNumberFormat="1" applyFont="1" applyFill="1" applyAlignment="1"/>
    <xf numFmtId="9" fontId="0" fillId="3" borderId="0" xfId="0" applyNumberFormat="1" applyFill="1" applyAlignment="1">
      <alignment horizontal="right"/>
    </xf>
    <xf numFmtId="0" fontId="0" fillId="3" borderId="0" xfId="0" applyFill="1" applyAlignment="1">
      <alignment horizontal="right"/>
    </xf>
    <xf numFmtId="0" fontId="0" fillId="3" borderId="0" xfId="0" applyFont="1" applyFill="1" applyAlignment="1"/>
    <xf numFmtId="43" fontId="6" fillId="3" borderId="0" xfId="2" applyNumberFormat="1" applyFont="1" applyFill="1" applyAlignment="1">
      <alignment horizontal="right"/>
    </xf>
    <xf numFmtId="0" fontId="0" fillId="3" borderId="0" xfId="0" applyFont="1" applyFill="1" applyAlignment="1">
      <alignment vertical="top" wrapText="1"/>
    </xf>
    <xf numFmtId="0" fontId="0" fillId="3" borderId="0" xfId="0" applyFill="1" applyAlignment="1">
      <alignment vertical="top"/>
    </xf>
    <xf numFmtId="0" fontId="0" fillId="3" borderId="0" xfId="0" applyFill="1" applyAlignment="1">
      <alignment vertical="center"/>
    </xf>
    <xf numFmtId="0" fontId="0" fillId="3" borderId="0" xfId="0" applyFill="1" applyAlignment="1">
      <alignment horizontal="right" indent="1"/>
    </xf>
    <xf numFmtId="0" fontId="12" fillId="3" borderId="0" xfId="0" applyFont="1" applyFill="1" applyAlignment="1">
      <alignment horizontal="left" vertical="center" wrapText="1" indent="1"/>
    </xf>
    <xf numFmtId="0" fontId="12" fillId="3" borderId="0" xfId="0" applyFont="1" applyFill="1" applyAlignment="1">
      <alignment horizontal="left" vertical="top" wrapText="1" indent="1"/>
    </xf>
    <xf numFmtId="0" fontId="0" fillId="4" borderId="0" xfId="0" applyFill="1" applyAlignment="1">
      <alignment vertical="center" wrapText="1"/>
    </xf>
    <xf numFmtId="0" fontId="2" fillId="5" borderId="0" xfId="0" applyFont="1" applyFill="1" applyAlignment="1">
      <alignment vertical="center" wrapText="1"/>
    </xf>
    <xf numFmtId="164" fontId="3" fillId="2" borderId="0" xfId="0" applyNumberFormat="1" applyFont="1" applyFill="1" applyAlignment="1">
      <alignment horizontal="center" wrapText="1"/>
    </xf>
    <xf numFmtId="0" fontId="3" fillId="2" borderId="0" xfId="0" applyFont="1" applyFill="1" applyAlignment="1">
      <alignment horizontal="center" wrapText="1"/>
    </xf>
    <xf numFmtId="164" fontId="17" fillId="4" borderId="0" xfId="0" applyNumberFormat="1" applyFont="1" applyFill="1" applyAlignment="1">
      <alignment horizontal="center" vertical="center" wrapText="1"/>
    </xf>
    <xf numFmtId="43" fontId="17" fillId="4" borderId="0" xfId="0" applyNumberFormat="1" applyFont="1" applyFill="1" applyAlignment="1">
      <alignment vertical="center" wrapText="1"/>
    </xf>
    <xf numFmtId="0" fontId="3" fillId="5" borderId="0" xfId="0" applyFont="1" applyFill="1" applyAlignment="1">
      <alignment vertical="center" wrapText="1"/>
    </xf>
    <xf numFmtId="0" fontId="2" fillId="2" borderId="1" xfId="0" applyFont="1" applyFill="1" applyBorder="1" applyAlignment="1">
      <alignment horizontal="center"/>
    </xf>
    <xf numFmtId="0" fontId="0" fillId="3" borderId="1" xfId="0" applyFill="1" applyBorder="1" applyAlignment="1">
      <alignment vertical="top" wrapText="1"/>
    </xf>
    <xf numFmtId="0" fontId="5" fillId="3" borderId="1" xfId="1" applyFill="1" applyBorder="1" applyAlignment="1">
      <alignment vertical="top" wrapText="1"/>
    </xf>
    <xf numFmtId="9" fontId="0" fillId="3" borderId="1" xfId="0" applyNumberFormat="1" applyFill="1" applyBorder="1"/>
    <xf numFmtId="0" fontId="0" fillId="3" borderId="1" xfId="0" applyFill="1" applyBorder="1"/>
    <xf numFmtId="164" fontId="3" fillId="5" borderId="0" xfId="0" applyNumberFormat="1" applyFont="1" applyFill="1" applyAlignment="1">
      <alignment vertical="center" wrapText="1"/>
    </xf>
    <xf numFmtId="9" fontId="17" fillId="4" borderId="0" xfId="3" applyFont="1" applyFill="1" applyAlignment="1">
      <alignment horizontal="center" vertical="center" wrapText="1"/>
    </xf>
    <xf numFmtId="9" fontId="3" fillId="5" borderId="0" xfId="3" applyFont="1" applyFill="1" applyAlignment="1">
      <alignment horizontal="center" vertical="center" wrapText="1"/>
    </xf>
    <xf numFmtId="0" fontId="4" fillId="3" borderId="0" xfId="0" applyFont="1" applyFill="1" applyAlignment="1">
      <alignment wrapText="1"/>
    </xf>
    <xf numFmtId="0" fontId="0" fillId="6" borderId="0" xfId="0" applyFill="1"/>
    <xf numFmtId="0" fontId="0" fillId="6" borderId="0" xfId="0" applyFill="1" applyAlignment="1">
      <alignment vertical="center"/>
    </xf>
    <xf numFmtId="164" fontId="3" fillId="5" borderId="0" xfId="0" applyNumberFormat="1" applyFont="1" applyFill="1" applyAlignment="1">
      <alignment horizontal="center" vertical="center" wrapText="1"/>
    </xf>
    <xf numFmtId="0" fontId="0" fillId="0" borderId="0" xfId="0" applyAlignment="1">
      <alignment horizontal="right"/>
    </xf>
    <xf numFmtId="164" fontId="0" fillId="0" borderId="0" xfId="2" applyNumberFormat="1" applyFont="1" applyAlignment="1">
      <alignment horizontal="right"/>
    </xf>
    <xf numFmtId="43" fontId="0" fillId="3" borderId="0" xfId="2" applyFont="1" applyFill="1"/>
    <xf numFmtId="0" fontId="1" fillId="3" borderId="0" xfId="0" applyFont="1" applyFill="1" applyAlignment="1">
      <alignment horizontal="right" vertical="center" wrapText="1"/>
    </xf>
    <xf numFmtId="164" fontId="0" fillId="3" borderId="0" xfId="2" applyNumberFormat="1" applyFont="1" applyFill="1" applyAlignment="1">
      <alignment vertical="center"/>
    </xf>
    <xf numFmtId="10" fontId="0" fillId="3" borderId="0" xfId="3" applyNumberFormat="1" applyFont="1" applyFill="1" applyAlignment="1">
      <alignment vertical="center"/>
    </xf>
    <xf numFmtId="9" fontId="0" fillId="3" borderId="0" xfId="3" applyNumberFormat="1" applyFont="1" applyFill="1" applyAlignment="1">
      <alignment vertical="center"/>
    </xf>
    <xf numFmtId="165" fontId="0" fillId="3" borderId="0" xfId="0" applyNumberFormat="1" applyFill="1" applyAlignment="1">
      <alignment vertical="center"/>
    </xf>
    <xf numFmtId="9" fontId="0" fillId="3" borderId="0" xfId="0" applyNumberFormat="1" applyFill="1" applyAlignment="1">
      <alignment vertical="center"/>
    </xf>
    <xf numFmtId="9" fontId="0" fillId="3" borderId="0" xfId="3" applyFont="1" applyFill="1" applyAlignment="1">
      <alignment vertical="center"/>
    </xf>
    <xf numFmtId="0" fontId="0" fillId="3" borderId="0" xfId="0" applyFill="1" applyAlignment="1">
      <alignment horizontal="right" vertical="center"/>
    </xf>
    <xf numFmtId="164" fontId="18" fillId="3" borderId="0" xfId="2" applyNumberFormat="1" applyFont="1" applyFill="1" applyAlignment="1">
      <alignment vertical="center"/>
    </xf>
    <xf numFmtId="164" fontId="1" fillId="3" borderId="0" xfId="0" applyNumberFormat="1" applyFont="1" applyFill="1" applyAlignment="1">
      <alignment horizontal="right" vertical="center"/>
    </xf>
    <xf numFmtId="43" fontId="0" fillId="3" borderId="0" xfId="2" applyFont="1" applyFill="1" applyAlignment="1">
      <alignment vertical="center"/>
    </xf>
    <xf numFmtId="43" fontId="0" fillId="3" borderId="0" xfId="2" applyFont="1" applyFill="1" applyAlignment="1">
      <alignment vertical="center" wrapText="1"/>
    </xf>
    <xf numFmtId="43" fontId="0" fillId="0" borderId="0" xfId="2" applyFont="1"/>
    <xf numFmtId="0" fontId="4" fillId="3" borderId="0" xfId="0" applyFont="1" applyFill="1" applyAlignment="1">
      <alignment vertical="center"/>
    </xf>
    <xf numFmtId="9" fontId="21" fillId="3" borderId="0" xfId="3" applyFont="1" applyFill="1" applyAlignment="1">
      <alignment horizontal="right" vertical="top"/>
    </xf>
    <xf numFmtId="0" fontId="4" fillId="3" borderId="0" xfId="0" applyFont="1" applyFill="1" applyAlignment="1">
      <alignment vertical="top"/>
    </xf>
    <xf numFmtId="0" fontId="4" fillId="0" borderId="0" xfId="0" applyFont="1" applyAlignment="1">
      <alignment vertical="top"/>
    </xf>
    <xf numFmtId="9" fontId="23" fillId="3" borderId="0" xfId="3" applyFont="1" applyFill="1" applyAlignment="1">
      <alignment horizontal="right" vertical="top"/>
    </xf>
    <xf numFmtId="43" fontId="20" fillId="3" borderId="0" xfId="2" applyFont="1" applyFill="1" applyAlignment="1">
      <alignment horizontal="left" vertical="top" wrapText="1" indent="1"/>
    </xf>
    <xf numFmtId="43" fontId="22" fillId="3" borderId="0" xfId="2" applyFont="1" applyFill="1" applyAlignment="1">
      <alignment horizontal="left" vertical="top" wrapText="1" indent="1"/>
    </xf>
    <xf numFmtId="166" fontId="0" fillId="3" borderId="0" xfId="2" applyNumberFormat="1" applyFont="1" applyFill="1" applyAlignment="1">
      <alignment vertical="center"/>
    </xf>
    <xf numFmtId="165" fontId="0" fillId="3" borderId="0" xfId="3" applyNumberFormat="1" applyFont="1" applyFill="1" applyAlignment="1">
      <alignment vertical="center"/>
    </xf>
    <xf numFmtId="43" fontId="1" fillId="3" borderId="0" xfId="2" applyFont="1" applyFill="1" applyAlignment="1">
      <alignment vertical="center" wrapText="1"/>
    </xf>
    <xf numFmtId="0" fontId="1" fillId="3" borderId="0" xfId="0" applyFont="1" applyFill="1" applyAlignment="1">
      <alignment horizontal="right" vertical="center"/>
    </xf>
    <xf numFmtId="43" fontId="1" fillId="3" borderId="0" xfId="2" applyFont="1" applyFill="1" applyAlignment="1">
      <alignment horizontal="right" vertical="center"/>
    </xf>
    <xf numFmtId="167" fontId="1" fillId="3" borderId="0" xfId="5" applyNumberFormat="1" applyFont="1" applyFill="1" applyAlignment="1">
      <alignment vertical="center"/>
    </xf>
    <xf numFmtId="9" fontId="24" fillId="3" borderId="0" xfId="3" applyNumberFormat="1" applyFont="1" applyFill="1" applyAlignment="1">
      <alignment vertical="center"/>
    </xf>
    <xf numFmtId="9" fontId="1" fillId="3" borderId="0" xfId="3" applyNumberFormat="1" applyFont="1" applyFill="1" applyAlignment="1">
      <alignment vertical="center"/>
    </xf>
    <xf numFmtId="167" fontId="25" fillId="3" borderId="0" xfId="5" applyNumberFormat="1" applyFont="1" applyFill="1" applyAlignment="1">
      <alignment vertical="center"/>
    </xf>
    <xf numFmtId="166" fontId="19" fillId="3" borderId="0" xfId="2" applyNumberFormat="1" applyFont="1" applyFill="1" applyAlignment="1">
      <alignment vertical="center"/>
    </xf>
    <xf numFmtId="43" fontId="4" fillId="3" borderId="0" xfId="2" applyFont="1" applyFill="1" applyAlignment="1">
      <alignment horizontal="left" vertical="center" indent="2"/>
    </xf>
    <xf numFmtId="0" fontId="1" fillId="3" borderId="2" xfId="0" applyFont="1" applyFill="1" applyBorder="1" applyAlignment="1">
      <alignment horizontal="right" vertical="center" wrapText="1"/>
    </xf>
    <xf numFmtId="43" fontId="22" fillId="3" borderId="0" xfId="2" applyFont="1" applyFill="1" applyAlignment="1">
      <alignment horizontal="left" vertical="center" indent="3"/>
    </xf>
    <xf numFmtId="43" fontId="0" fillId="3" borderId="0" xfId="2" applyFont="1" applyFill="1" applyAlignment="1">
      <alignment horizontal="left" vertical="center" wrapText="1"/>
    </xf>
    <xf numFmtId="0" fontId="1" fillId="3" borderId="0" xfId="0" applyFont="1" applyFill="1" applyBorder="1" applyAlignment="1">
      <alignment horizontal="right" vertical="center" wrapText="1"/>
    </xf>
    <xf numFmtId="43" fontId="1" fillId="3" borderId="0" xfId="2" applyFont="1" applyFill="1" applyAlignment="1">
      <alignment vertical="center"/>
    </xf>
    <xf numFmtId="43" fontId="26" fillId="7" borderId="0" xfId="2" applyFont="1" applyFill="1"/>
    <xf numFmtId="0" fontId="26" fillId="7" borderId="0" xfId="0" applyFont="1" applyFill="1"/>
    <xf numFmtId="43" fontId="17" fillId="4" borderId="0" xfId="2" applyFont="1" applyFill="1" applyAlignment="1">
      <alignment vertical="center" wrapText="1"/>
    </xf>
    <xf numFmtId="43" fontId="3" fillId="5" borderId="0" xfId="2" applyFont="1" applyFill="1" applyAlignment="1">
      <alignment vertical="center" wrapText="1"/>
    </xf>
    <xf numFmtId="0" fontId="0" fillId="3" borderId="0" xfId="0" applyFill="1" applyAlignment="1">
      <alignment vertical="center" wrapText="1"/>
    </xf>
    <xf numFmtId="43" fontId="26" fillId="3" borderId="0" xfId="2" applyFont="1" applyFill="1" applyAlignment="1">
      <alignment vertical="center"/>
    </xf>
    <xf numFmtId="164" fontId="3" fillId="2" borderId="0" xfId="0" applyNumberFormat="1" applyFont="1" applyFill="1" applyAlignment="1">
      <alignment horizontal="right" wrapText="1"/>
    </xf>
    <xf numFmtId="0" fontId="3" fillId="2" borderId="0" xfId="0" applyFont="1" applyFill="1" applyAlignment="1">
      <alignment horizontal="right" wrapText="1"/>
    </xf>
    <xf numFmtId="0" fontId="0" fillId="3" borderId="0" xfId="0" applyFill="1" applyAlignment="1">
      <alignment vertical="center" wrapText="1"/>
    </xf>
    <xf numFmtId="0" fontId="0" fillId="3" borderId="0" xfId="0" applyFill="1" applyAlignment="1">
      <alignment horizontal="left" vertical="center" wrapText="1"/>
    </xf>
    <xf numFmtId="0" fontId="3" fillId="3" borderId="0" xfId="0" applyFont="1" applyFill="1" applyAlignment="1">
      <alignment horizontal="left"/>
    </xf>
    <xf numFmtId="0" fontId="2" fillId="2" borderId="0" xfId="0" applyFont="1" applyFill="1" applyAlignment="1">
      <alignment horizontal="center"/>
    </xf>
    <xf numFmtId="0" fontId="0" fillId="3" borderId="0" xfId="0" applyFill="1" applyAlignment="1">
      <alignment horizontal="left" vertical="center"/>
    </xf>
    <xf numFmtId="0" fontId="5" fillId="3" borderId="0" xfId="1" applyFill="1"/>
    <xf numFmtId="0" fontId="1" fillId="3" borderId="0" xfId="2" applyNumberFormat="1" applyFont="1" applyFill="1" applyAlignment="1">
      <alignment horizontal="right"/>
    </xf>
    <xf numFmtId="0" fontId="1" fillId="3" borderId="0" xfId="0" applyFont="1" applyFill="1"/>
    <xf numFmtId="0" fontId="1" fillId="3" borderId="0" xfId="0" applyFont="1" applyFill="1" applyAlignment="1">
      <alignment horizontal="right"/>
    </xf>
    <xf numFmtId="0" fontId="26" fillId="3" borderId="0" xfId="0" applyFont="1" applyFill="1"/>
    <xf numFmtId="43" fontId="27" fillId="3" borderId="0" xfId="0" applyNumberFormat="1" applyFont="1" applyFill="1" applyAlignment="1">
      <alignment wrapText="1"/>
    </xf>
    <xf numFmtId="164" fontId="27" fillId="3" borderId="0" xfId="2" applyNumberFormat="1" applyFont="1" applyFill="1"/>
    <xf numFmtId="0" fontId="27" fillId="3" borderId="0" xfId="0" applyFont="1" applyFill="1" applyAlignment="1">
      <alignment wrapText="1"/>
    </xf>
  </cellXfs>
  <cellStyles count="6">
    <cellStyle name="Comma" xfId="2" builtinId="3"/>
    <cellStyle name="Currency" xfId="5" builtinId="4"/>
    <cellStyle name="Hyperlink" xfId="1" builtinId="8"/>
    <cellStyle name="Normal" xfId="0" builtinId="0"/>
    <cellStyle name="Normal 2" xfId="4"/>
    <cellStyle name="Percent" xfId="3" builtinId="5"/>
  </cellStyles>
  <dxfs count="0"/>
  <tableStyles count="0" defaultTableStyle="TableStyleMedium2" defaultPivotStyle="PivotStyleLight16"/>
  <colors>
    <mruColors>
      <color rgb="FF660066"/>
      <color rgb="FF800080"/>
      <color rgb="FF990099"/>
      <color rgb="FFCC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en-US" sz="1600" b="1" i="0" baseline="0">
                <a:effectLst/>
              </a:rPr>
              <a:t>Adverse Events Experienced by Illegal Migrants</a:t>
            </a:r>
            <a:endParaRPr lang="en-US" sz="1050">
              <a:effectLst/>
            </a:endParaRPr>
          </a:p>
          <a:p>
            <a:pPr>
              <a:defRPr sz="800"/>
            </a:pPr>
            <a:r>
              <a:rPr lang="en-US" sz="1100" b="0" i="1" baseline="0">
                <a:effectLst/>
              </a:rPr>
              <a:t>Annual, US and Mexico Only, 2018 Expected*</a:t>
            </a:r>
            <a:endParaRPr lang="en-US" sz="800">
              <a:effectLst/>
            </a:endParaRPr>
          </a:p>
        </c:rich>
      </c:tx>
      <c:layout>
        <c:manualLayout>
          <c:xMode val="edge"/>
          <c:yMode val="edge"/>
          <c:x val="0.19758367782683181"/>
          <c:y val="0"/>
        </c:manualLayout>
      </c:layout>
      <c:overlay val="1"/>
    </c:title>
    <c:autoTitleDeleted val="0"/>
    <c:plotArea>
      <c:layout>
        <c:manualLayout>
          <c:layoutTarget val="inner"/>
          <c:xMode val="edge"/>
          <c:yMode val="edge"/>
          <c:x val="0.11399787206944442"/>
          <c:y val="5.9652335692256468E-2"/>
          <c:w val="0.88600212793055555"/>
          <c:h val="0.64062083552017135"/>
        </c:manualLayout>
      </c:layout>
      <c:barChart>
        <c:barDir val="col"/>
        <c:grouping val="clustered"/>
        <c:varyColors val="0"/>
        <c:ser>
          <c:idx val="0"/>
          <c:order val="0"/>
          <c:tx>
            <c:strRef>
              <c:f>Summary!$C$7</c:f>
              <c:strCache>
                <c:ptCount val="1"/>
                <c:pt idx="0">
                  <c:v>in the US (Border Zone)</c:v>
                </c:pt>
              </c:strCache>
            </c:strRef>
          </c:tx>
          <c:spPr>
            <a:solidFill>
              <a:srgbClr val="FFC000"/>
            </a:solidFill>
          </c:spPr>
          <c:invertIfNegative val="0"/>
          <c:dLbls>
            <c:dLbl>
              <c:idx val="7"/>
              <c:layout>
                <c:manualLayout>
                  <c:x val="-1.2490240974776433E-2"/>
                  <c:y val="-9.7057940724728578E-3"/>
                </c:manualLayout>
              </c:layout>
              <c:showLegendKey val="0"/>
              <c:showVal val="1"/>
              <c:showCatName val="0"/>
              <c:showSerName val="0"/>
              <c:showPercent val="0"/>
              <c:showBubbleSize val="0"/>
            </c:dLbl>
            <c:dLbl>
              <c:idx val="8"/>
              <c:layout>
                <c:manualLayout>
                  <c:x val="-6.2451204873882164E-3"/>
                  <c:y val="-1.35708239395745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Summary!$B$8:$B$14</c:f>
              <c:strCache>
                <c:ptCount val="7"/>
                <c:pt idx="0">
                  <c:v> Death </c:v>
                </c:pt>
                <c:pt idx="1">
                  <c:v> Rape / Coerced Sex </c:v>
                </c:pt>
                <c:pt idx="2">
                  <c:v> Kidnapping and extortion </c:v>
                </c:pt>
                <c:pt idx="3">
                  <c:v> Human trafficking </c:v>
                </c:pt>
                <c:pt idx="4">
                  <c:v> Assault / Robbery </c:v>
                </c:pt>
                <c:pt idx="5">
                  <c:v> Drug Smuggling </c:v>
                </c:pt>
                <c:pt idx="6">
                  <c:v> Extended Incarceration </c:v>
                </c:pt>
              </c:strCache>
            </c:strRef>
          </c:cat>
          <c:val>
            <c:numRef>
              <c:f>Summary!$C$8:$C$14</c:f>
              <c:numCache>
                <c:formatCode>_(* #,##0_);_(* \(#,##0\);_(* "-"??_);_(@_)</c:formatCode>
                <c:ptCount val="7"/>
                <c:pt idx="0">
                  <c:v>700</c:v>
                </c:pt>
                <c:pt idx="1">
                  <c:v>58000</c:v>
                </c:pt>
                <c:pt idx="2">
                  <c:v>0</c:v>
                </c:pt>
                <c:pt idx="3">
                  <c:v>17000</c:v>
                </c:pt>
                <c:pt idx="4">
                  <c:v>6900</c:v>
                </c:pt>
                <c:pt idx="5">
                  <c:v>71000</c:v>
                </c:pt>
                <c:pt idx="6">
                  <c:v>68400</c:v>
                </c:pt>
              </c:numCache>
            </c:numRef>
          </c:val>
        </c:ser>
        <c:ser>
          <c:idx val="1"/>
          <c:order val="1"/>
          <c:tx>
            <c:strRef>
              <c:f>Summary!$D$7</c:f>
              <c:strCache>
                <c:ptCount val="1"/>
                <c:pt idx="0">
                  <c:v>in Mexico</c:v>
                </c:pt>
              </c:strCache>
            </c:strRef>
          </c:tx>
          <c:invertIfNegative val="0"/>
          <c:dLbls>
            <c:dLbl>
              <c:idx val="0"/>
              <c:layout>
                <c:manualLayout>
                  <c:x val="4.1634136582588115E-3"/>
                  <c:y val="-3.0436057824454184E-2"/>
                </c:manualLayout>
              </c:layout>
              <c:showLegendKey val="0"/>
              <c:showVal val="1"/>
              <c:showCatName val="0"/>
              <c:showSerName val="0"/>
              <c:showPercent val="0"/>
              <c:showBubbleSize val="0"/>
            </c:dLbl>
            <c:dLbl>
              <c:idx val="1"/>
              <c:layout>
                <c:manualLayout>
                  <c:x val="0"/>
                  <c:y val="-2.1986653680773575E-2"/>
                </c:manualLayout>
              </c:layout>
              <c:showLegendKey val="0"/>
              <c:showVal val="1"/>
              <c:showCatName val="0"/>
              <c:showSerName val="0"/>
              <c:showPercent val="0"/>
              <c:showBubbleSize val="0"/>
            </c:dLbl>
            <c:dLbl>
              <c:idx val="4"/>
              <c:layout>
                <c:manualLayout>
                  <c:x val="6.1324037325282826E-2"/>
                  <c:y val="3.7691406309897556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Summary!$B$8:$B$14</c:f>
              <c:strCache>
                <c:ptCount val="7"/>
                <c:pt idx="0">
                  <c:v> Death </c:v>
                </c:pt>
                <c:pt idx="1">
                  <c:v> Rape / Coerced Sex </c:v>
                </c:pt>
                <c:pt idx="2">
                  <c:v> Kidnapping and extortion </c:v>
                </c:pt>
                <c:pt idx="3">
                  <c:v> Human trafficking </c:v>
                </c:pt>
                <c:pt idx="4">
                  <c:v> Assault / Robbery </c:v>
                </c:pt>
                <c:pt idx="5">
                  <c:v> Drug Smuggling </c:v>
                </c:pt>
                <c:pt idx="6">
                  <c:v> Extended Incarceration </c:v>
                </c:pt>
              </c:strCache>
            </c:strRef>
          </c:cat>
          <c:val>
            <c:numRef>
              <c:f>Summary!$D$8:$D$14</c:f>
              <c:numCache>
                <c:formatCode>_(* #,##0_);_(* \(#,##0\);_(* "-"??_);_(@_)</c:formatCode>
                <c:ptCount val="7"/>
                <c:pt idx="0">
                  <c:v>1300</c:v>
                </c:pt>
                <c:pt idx="1">
                  <c:v>60000</c:v>
                </c:pt>
                <c:pt idx="2">
                  <c:v>26000</c:v>
                </c:pt>
                <c:pt idx="3">
                  <c:v>10000</c:v>
                </c:pt>
                <c:pt idx="4">
                  <c:v>131100</c:v>
                </c:pt>
                <c:pt idx="5">
                  <c:v>10000</c:v>
                </c:pt>
                <c:pt idx="6">
                  <c:v>7600</c:v>
                </c:pt>
              </c:numCache>
            </c:numRef>
          </c:val>
        </c:ser>
        <c:dLbls>
          <c:showLegendKey val="0"/>
          <c:showVal val="0"/>
          <c:showCatName val="0"/>
          <c:showSerName val="0"/>
          <c:showPercent val="0"/>
          <c:showBubbleSize val="0"/>
        </c:dLbls>
        <c:gapWidth val="150"/>
        <c:axId val="60975744"/>
        <c:axId val="60981632"/>
      </c:barChart>
      <c:catAx>
        <c:axId val="60975744"/>
        <c:scaling>
          <c:orientation val="minMax"/>
        </c:scaling>
        <c:delete val="0"/>
        <c:axPos val="b"/>
        <c:majorTickMark val="out"/>
        <c:minorTickMark val="none"/>
        <c:tickLblPos val="nextTo"/>
        <c:txPr>
          <a:bodyPr rot="-5400000"/>
          <a:lstStyle/>
          <a:p>
            <a:pPr>
              <a:defRPr/>
            </a:pPr>
            <a:endParaRPr lang="en-US"/>
          </a:p>
        </c:txPr>
        <c:crossAx val="60981632"/>
        <c:crosses val="autoZero"/>
        <c:auto val="1"/>
        <c:lblAlgn val="ctr"/>
        <c:lblOffset val="100"/>
        <c:noMultiLvlLbl val="0"/>
      </c:catAx>
      <c:valAx>
        <c:axId val="60981632"/>
        <c:scaling>
          <c:orientation val="minMax"/>
        </c:scaling>
        <c:delete val="0"/>
        <c:axPos val="l"/>
        <c:numFmt formatCode="_(* #,##0_);_(* \(#,##0\);_(* &quot;-&quot;??_);_(@_)" sourceLinked="1"/>
        <c:majorTickMark val="out"/>
        <c:minorTickMark val="none"/>
        <c:tickLblPos val="nextTo"/>
        <c:crossAx val="60975744"/>
        <c:crosses val="autoZero"/>
        <c:crossBetween val="between"/>
      </c:valAx>
      <c:spPr>
        <a:noFill/>
      </c:spPr>
    </c:plotArea>
    <c:legend>
      <c:legendPos val="r"/>
      <c:layout>
        <c:manualLayout>
          <c:xMode val="edge"/>
          <c:yMode val="edge"/>
          <c:x val="0.13665749317987738"/>
          <c:y val="0.21829892278080021"/>
          <c:w val="0.21244352657550539"/>
          <c:h val="8.5726412199606861E-2"/>
        </c:manualLayout>
      </c:layout>
      <c:overlay val="0"/>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US SW Border Migrant Predation / Victimization 2018</a:t>
            </a:r>
          </a:p>
        </c:rich>
      </c:tx>
      <c:layout>
        <c:manualLayout>
          <c:xMode val="edge"/>
          <c:yMode val="edge"/>
          <c:x val="0.10601172437986314"/>
          <c:y val="0"/>
        </c:manualLayout>
      </c:layout>
      <c:overlay val="1"/>
    </c:title>
    <c:autoTitleDeleted val="0"/>
    <c:plotArea>
      <c:layout>
        <c:manualLayout>
          <c:layoutTarget val="inner"/>
          <c:xMode val="edge"/>
          <c:yMode val="edge"/>
          <c:x val="7.9870330218384536E-2"/>
          <c:y val="0.14103167297215333"/>
          <c:w val="0.50728001994919725"/>
          <c:h val="0.80671174067996032"/>
        </c:manualLayout>
      </c:layout>
      <c:pieChart>
        <c:varyColors val="1"/>
        <c:ser>
          <c:idx val="0"/>
          <c:order val="0"/>
          <c:dLbls>
            <c:showLegendKey val="0"/>
            <c:showVal val="1"/>
            <c:showCatName val="0"/>
            <c:showSerName val="0"/>
            <c:showPercent val="0"/>
            <c:showBubbleSize val="0"/>
            <c:showLeaderLines val="1"/>
          </c:dLbls>
          <c:cat>
            <c:strRef>
              <c:f>Summary!$B$21:$B$29</c:f>
              <c:strCache>
                <c:ptCount val="9"/>
                <c:pt idx="0">
                  <c:v> Death </c:v>
                </c:pt>
                <c:pt idx="1">
                  <c:v> Rape / Coerced Sex </c:v>
                </c:pt>
                <c:pt idx="2">
                  <c:v> Kidnapping and extortion </c:v>
                </c:pt>
                <c:pt idx="3">
                  <c:v> Human trafficking </c:v>
                </c:pt>
                <c:pt idx="4">
                  <c:v> Assault / Robbery </c:v>
                </c:pt>
                <c:pt idx="5">
                  <c:v> Drug Smuggling </c:v>
                </c:pt>
                <c:pt idx="6">
                  <c:v> Extended Incarceration </c:v>
                </c:pt>
                <c:pt idx="7">
                  <c:v> Arrested in US or Mexico </c:v>
                </c:pt>
                <c:pt idx="8">
                  <c:v> Abandoned Trip </c:v>
                </c:pt>
              </c:strCache>
            </c:strRef>
          </c:cat>
          <c:val>
            <c:numRef>
              <c:f>Summary!$C$21:$C$29</c:f>
              <c:numCache>
                <c:formatCode>_(* #,##0_);_(* \(#,##0\);_(* "-"??_);_(@_)</c:formatCode>
                <c:ptCount val="9"/>
                <c:pt idx="0">
                  <c:v>2200</c:v>
                </c:pt>
                <c:pt idx="1">
                  <c:v>118000</c:v>
                </c:pt>
                <c:pt idx="2">
                  <c:v>26000</c:v>
                </c:pt>
                <c:pt idx="3">
                  <c:v>27000</c:v>
                </c:pt>
                <c:pt idx="4">
                  <c:v>138000</c:v>
                </c:pt>
                <c:pt idx="5">
                  <c:v>81000</c:v>
                </c:pt>
                <c:pt idx="6">
                  <c:v>76000</c:v>
                </c:pt>
                <c:pt idx="7">
                  <c:v>526000</c:v>
                </c:pt>
                <c:pt idx="8">
                  <c:v>102000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266748661248262"/>
          <c:y val="0.15970697231249692"/>
          <c:w val="0.33727346883571918"/>
          <c:h val="0.7591178627733961"/>
        </c:manualLayout>
      </c:layout>
      <c:overlay val="0"/>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Adverse Events Experienced by Illegal Migrants</a:t>
            </a:r>
          </a:p>
          <a:p>
            <a:pPr>
              <a:defRPr/>
            </a:pPr>
            <a:r>
              <a:rPr lang="en-US" sz="1200" b="0" i="1"/>
              <a:t>2018 Expected and under an Market-based Visa Program</a:t>
            </a:r>
          </a:p>
        </c:rich>
      </c:tx>
      <c:layout>
        <c:manualLayout>
          <c:xMode val="edge"/>
          <c:yMode val="edge"/>
          <c:x val="0.2124500616887359"/>
          <c:y val="0"/>
        </c:manualLayout>
      </c:layout>
      <c:overlay val="1"/>
    </c:title>
    <c:autoTitleDeleted val="0"/>
    <c:plotArea>
      <c:layout>
        <c:manualLayout>
          <c:layoutTarget val="inner"/>
          <c:xMode val="edge"/>
          <c:yMode val="edge"/>
          <c:x val="0.11399787206944442"/>
          <c:y val="0.11174343382363496"/>
          <c:w val="0.88600212793055555"/>
          <c:h val="0.5885296582822821"/>
        </c:manualLayout>
      </c:layout>
      <c:barChart>
        <c:barDir val="col"/>
        <c:grouping val="clustered"/>
        <c:varyColors val="0"/>
        <c:ser>
          <c:idx val="0"/>
          <c:order val="0"/>
          <c:tx>
            <c:strRef>
              <c:f>'Expected Results'!$C$8</c:f>
              <c:strCache>
                <c:ptCount val="1"/>
                <c:pt idx="0">
                  <c:v>Current</c:v>
                </c:pt>
              </c:strCache>
            </c:strRef>
          </c:tx>
          <c:spPr>
            <a:solidFill>
              <a:srgbClr val="F79646">
                <a:lumMod val="75000"/>
              </a:srgbClr>
            </a:solidFill>
          </c:spPr>
          <c:invertIfNegative val="0"/>
          <c:dLbls>
            <c:dLbl>
              <c:idx val="7"/>
              <c:layout>
                <c:manualLayout>
                  <c:x val="-1.2490240974776433E-2"/>
                  <c:y val="-9.7057940724728578E-3"/>
                </c:manualLayout>
              </c:layout>
              <c:showLegendKey val="0"/>
              <c:showVal val="1"/>
              <c:showCatName val="0"/>
              <c:showSerName val="0"/>
              <c:showPercent val="0"/>
              <c:showBubbleSize val="0"/>
            </c:dLbl>
            <c:dLbl>
              <c:idx val="8"/>
              <c:layout>
                <c:manualLayout>
                  <c:x val="-6.2451204873882164E-3"/>
                  <c:y val="-1.35708239395745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'Expected Results'!$B$9:$B$16</c:f>
              <c:strCache>
                <c:ptCount val="8"/>
                <c:pt idx="0">
                  <c:v> Death </c:v>
                </c:pt>
                <c:pt idx="1">
                  <c:v> Rape / Coerced Sex </c:v>
                </c:pt>
                <c:pt idx="2">
                  <c:v> Kidnapping and extortion </c:v>
                </c:pt>
                <c:pt idx="3">
                  <c:v> Human trafficking </c:v>
                </c:pt>
                <c:pt idx="4">
                  <c:v> Assault / Robbery </c:v>
                </c:pt>
                <c:pt idx="5">
                  <c:v> Drug Smuggling </c:v>
                </c:pt>
                <c:pt idx="6">
                  <c:v> Extended Incarceration </c:v>
                </c:pt>
                <c:pt idx="7">
                  <c:v> Abandoned Trip </c:v>
                </c:pt>
              </c:strCache>
            </c:strRef>
          </c:cat>
          <c:val>
            <c:numRef>
              <c:f>'Expected Results'!$C$9:$C$16</c:f>
              <c:numCache>
                <c:formatCode>_(* #,##0_);_(* \(#,##0\);_(* "-"??_);_(@_)</c:formatCode>
                <c:ptCount val="8"/>
                <c:pt idx="0">
                  <c:v>2200</c:v>
                </c:pt>
                <c:pt idx="1">
                  <c:v>117700</c:v>
                </c:pt>
                <c:pt idx="2">
                  <c:v>25900</c:v>
                </c:pt>
                <c:pt idx="3">
                  <c:v>27300</c:v>
                </c:pt>
                <c:pt idx="4">
                  <c:v>138300</c:v>
                </c:pt>
                <c:pt idx="5">
                  <c:v>81200</c:v>
                </c:pt>
                <c:pt idx="6">
                  <c:v>75700</c:v>
                </c:pt>
                <c:pt idx="7">
                  <c:v>101700</c:v>
                </c:pt>
              </c:numCache>
            </c:numRef>
          </c:val>
        </c:ser>
        <c:ser>
          <c:idx val="1"/>
          <c:order val="1"/>
          <c:tx>
            <c:strRef>
              <c:f>'Expected Results'!$D$8</c:f>
              <c:strCache>
                <c:ptCount val="1"/>
                <c:pt idx="0">
                  <c:v>MBV Program</c:v>
                </c:pt>
              </c:strCache>
            </c:strRef>
          </c:tx>
          <c:spPr>
            <a:solidFill>
              <a:srgbClr val="9BBB59">
                <a:lumMod val="75000"/>
              </a:srgbClr>
            </a:solidFill>
          </c:spPr>
          <c:invertIfNegative val="0"/>
          <c:dLbls>
            <c:dLbl>
              <c:idx val="0"/>
              <c:layout>
                <c:manualLayout>
                  <c:x val="4.1634136582588115E-3"/>
                  <c:y val="-3.043605782445418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'Expected Results'!$B$9:$B$16</c:f>
              <c:strCache>
                <c:ptCount val="8"/>
                <c:pt idx="0">
                  <c:v> Death </c:v>
                </c:pt>
                <c:pt idx="1">
                  <c:v> Rape / Coerced Sex </c:v>
                </c:pt>
                <c:pt idx="2">
                  <c:v> Kidnapping and extortion </c:v>
                </c:pt>
                <c:pt idx="3">
                  <c:v> Human trafficking </c:v>
                </c:pt>
                <c:pt idx="4">
                  <c:v> Assault / Robbery </c:v>
                </c:pt>
                <c:pt idx="5">
                  <c:v> Drug Smuggling </c:v>
                </c:pt>
                <c:pt idx="6">
                  <c:v> Extended Incarceration </c:v>
                </c:pt>
                <c:pt idx="7">
                  <c:v> Abandoned Trip </c:v>
                </c:pt>
              </c:strCache>
            </c:strRef>
          </c:cat>
          <c:val>
            <c:numRef>
              <c:f>'Expected Results'!$D$9:$D$16</c:f>
              <c:numCache>
                <c:formatCode>_(* #,##0_);_(* \(#,##0\);_(* "-"??_);_(@_)</c:formatCode>
                <c:ptCount val="8"/>
                <c:pt idx="0">
                  <c:v>200</c:v>
                </c:pt>
                <c:pt idx="1">
                  <c:v>1200</c:v>
                </c:pt>
                <c:pt idx="2">
                  <c:v>3900</c:v>
                </c:pt>
                <c:pt idx="3">
                  <c:v>4100</c:v>
                </c:pt>
                <c:pt idx="4">
                  <c:v>20700</c:v>
                </c:pt>
                <c:pt idx="5">
                  <c:v>1600</c:v>
                </c:pt>
                <c:pt idx="6">
                  <c:v>1500</c:v>
                </c:pt>
                <c:pt idx="7">
                  <c:v>500</c:v>
                </c:pt>
              </c:numCache>
            </c:numRef>
          </c:val>
        </c:ser>
        <c:dLbls>
          <c:showLegendKey val="0"/>
          <c:showVal val="0"/>
          <c:showCatName val="0"/>
          <c:showSerName val="0"/>
          <c:showPercent val="0"/>
          <c:showBubbleSize val="0"/>
        </c:dLbls>
        <c:gapWidth val="150"/>
        <c:axId val="61317120"/>
        <c:axId val="61318656"/>
      </c:barChart>
      <c:catAx>
        <c:axId val="61317120"/>
        <c:scaling>
          <c:orientation val="minMax"/>
        </c:scaling>
        <c:delete val="0"/>
        <c:axPos val="b"/>
        <c:majorTickMark val="out"/>
        <c:minorTickMark val="none"/>
        <c:tickLblPos val="nextTo"/>
        <c:txPr>
          <a:bodyPr rot="-5400000"/>
          <a:lstStyle/>
          <a:p>
            <a:pPr>
              <a:defRPr/>
            </a:pPr>
            <a:endParaRPr lang="en-US"/>
          </a:p>
        </c:txPr>
        <c:crossAx val="61318656"/>
        <c:crosses val="autoZero"/>
        <c:auto val="1"/>
        <c:lblAlgn val="ctr"/>
        <c:lblOffset val="100"/>
        <c:noMultiLvlLbl val="0"/>
      </c:catAx>
      <c:valAx>
        <c:axId val="61318656"/>
        <c:scaling>
          <c:orientation val="minMax"/>
        </c:scaling>
        <c:delete val="0"/>
        <c:axPos val="l"/>
        <c:numFmt formatCode="_(* #,##0_);_(* \(#,##0\);_(* &quot;-&quot;??_);_(@_)" sourceLinked="1"/>
        <c:majorTickMark val="out"/>
        <c:minorTickMark val="none"/>
        <c:tickLblPos val="nextTo"/>
        <c:crossAx val="61317120"/>
        <c:crosses val="autoZero"/>
        <c:crossBetween val="between"/>
      </c:valAx>
      <c:spPr>
        <a:noFill/>
      </c:spPr>
    </c:plotArea>
    <c:legend>
      <c:legendPos val="r"/>
      <c:layout>
        <c:manualLayout>
          <c:xMode val="edge"/>
          <c:yMode val="edge"/>
          <c:x val="0.13665749317987741"/>
          <c:y val="0.13415162630285096"/>
          <c:w val="0.18456896415492227"/>
          <c:h val="8.5726412199606861E-2"/>
        </c:manualLayout>
      </c:layout>
      <c:overlay val="0"/>
    </c:legend>
    <c:plotVisOnly val="1"/>
    <c:dispBlanksAs val="gap"/>
    <c:showDLblsOverMax val="0"/>
  </c:chart>
  <c:spPr>
    <a:noFill/>
    <a:ln>
      <a:noFill/>
    </a:ln>
  </c:spPr>
  <c:txPr>
    <a:bodyPr/>
    <a:lstStyle/>
    <a:p>
      <a:pPr>
        <a:defRPr>
          <a:solidFill>
            <a:schemeClr val="bg1"/>
          </a:solidFill>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Cost of Illegal Entry into the US over SW Border</a:t>
            </a:r>
          </a:p>
          <a:p>
            <a:pPr>
              <a:defRPr sz="1400"/>
            </a:pPr>
            <a:r>
              <a:rPr lang="en-US" sz="1100" b="0" i="1"/>
              <a:t>Risk and Gender Adjusted</a:t>
            </a:r>
          </a:p>
        </c:rich>
      </c:tx>
      <c:layout>
        <c:manualLayout>
          <c:xMode val="edge"/>
          <c:yMode val="edge"/>
          <c:x val="4.4381290704558915E-2"/>
          <c:y val="0"/>
        </c:manualLayout>
      </c:layout>
      <c:overlay val="1"/>
    </c:title>
    <c:autoTitleDeleted val="0"/>
    <c:plotArea>
      <c:layout>
        <c:manualLayout>
          <c:layoutTarget val="inner"/>
          <c:xMode val="edge"/>
          <c:yMode val="edge"/>
          <c:x val="6.1045673020890152E-2"/>
          <c:y val="0.16564180082234972"/>
          <c:w val="0.53729281175554655"/>
          <c:h val="0.74782668052995405"/>
        </c:manualLayout>
      </c:layout>
      <c:pieChart>
        <c:varyColors val="1"/>
        <c:ser>
          <c:idx val="0"/>
          <c:order val="0"/>
          <c:dPt>
            <c:idx val="2"/>
            <c:bubble3D val="0"/>
            <c:spPr>
              <a:solidFill>
                <a:srgbClr val="660066"/>
              </a:solidFill>
            </c:spPr>
          </c:dPt>
          <c:dPt>
            <c:idx val="6"/>
            <c:bubble3D val="0"/>
            <c:spPr>
              <a:solidFill>
                <a:schemeClr val="accent3">
                  <a:lumMod val="75000"/>
                </a:schemeClr>
              </a:solidFill>
            </c:spPr>
          </c:dPt>
          <c:dPt>
            <c:idx val="8"/>
            <c:bubble3D val="0"/>
            <c:spPr>
              <a:solidFill>
                <a:schemeClr val="tx1">
                  <a:lumMod val="75000"/>
                  <a:lumOff val="25000"/>
                </a:schemeClr>
              </a:solidFill>
            </c:spPr>
          </c:dPt>
          <c:dLbls>
            <c:dLbl>
              <c:idx val="6"/>
              <c:layout>
                <c:manualLayout>
                  <c:x val="5.0743159769327237E-2"/>
                  <c:y val="6.5968923880039013E-2"/>
                </c:manualLayout>
              </c:layout>
              <c:showLegendKey val="0"/>
              <c:showVal val="0"/>
              <c:showCatName val="0"/>
              <c:showSerName val="0"/>
              <c:showPercent val="1"/>
              <c:showBubbleSize val="0"/>
            </c:dLbl>
            <c:dLbl>
              <c:idx val="7"/>
              <c:layout>
                <c:manualLayout>
                  <c:x val="4.2715020302746348E-2"/>
                  <c:y val="7.4344238909880137E-2"/>
                </c:manualLayout>
              </c:layout>
              <c:showLegendKey val="0"/>
              <c:showVal val="0"/>
              <c:showCatName val="0"/>
              <c:showSerName val="0"/>
              <c:showPercent val="1"/>
              <c:showBubbleSize val="0"/>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'Cost of Entry'!$A$22:$A$32</c:f>
              <c:strCache>
                <c:ptCount val="11"/>
                <c:pt idx="0">
                  <c:v> Coyote Fee </c:v>
                </c:pt>
                <c:pt idx="1">
                  <c:v> Border Apprehension </c:v>
                </c:pt>
                <c:pt idx="2">
                  <c:v> Drug Smuggling </c:v>
                </c:pt>
                <c:pt idx="3">
                  <c:v> Extended Incarceration </c:v>
                </c:pt>
                <c:pt idx="4">
                  <c:v> Rape / Coerced Sex </c:v>
                </c:pt>
                <c:pt idx="5">
                  <c:v> Kidnapping and extortion </c:v>
                </c:pt>
                <c:pt idx="6">
                  <c:v> Assault / Robbery </c:v>
                </c:pt>
                <c:pt idx="7">
                  <c:v> Human trafficking </c:v>
                </c:pt>
                <c:pt idx="8">
                  <c:v> Death </c:v>
                </c:pt>
                <c:pt idx="9">
                  <c:v> Abandoned effort </c:v>
                </c:pt>
                <c:pt idx="10">
                  <c:v> Lost Wages / Trip Expenses </c:v>
                </c:pt>
              </c:strCache>
            </c:strRef>
          </c:cat>
          <c:val>
            <c:numRef>
              <c:f>'Cost of Entry'!$B$22:$B$32</c:f>
              <c:numCache>
                <c:formatCode>_(* #,##0_);_(* \(#,##0\);_(* "-"??_);_(@_)</c:formatCode>
                <c:ptCount val="11"/>
                <c:pt idx="0">
                  <c:v>2400</c:v>
                </c:pt>
                <c:pt idx="1">
                  <c:v>3240</c:v>
                </c:pt>
                <c:pt idx="2">
                  <c:v>354.78</c:v>
                </c:pt>
                <c:pt idx="3">
                  <c:v>2365.1999999999998</c:v>
                </c:pt>
                <c:pt idx="4">
                  <c:v>874.79996500800019</c:v>
                </c:pt>
                <c:pt idx="5">
                  <c:v>972</c:v>
                </c:pt>
                <c:pt idx="6">
                  <c:v>194.4</c:v>
                </c:pt>
                <c:pt idx="7">
                  <c:v>567</c:v>
                </c:pt>
                <c:pt idx="8">
                  <c:v>486</c:v>
                </c:pt>
                <c:pt idx="9">
                  <c:v>324</c:v>
                </c:pt>
                <c:pt idx="10">
                  <c:v>600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9458289588801405"/>
          <c:y val="0.16673267820129556"/>
          <c:w val="0.38875043744531929"/>
          <c:h val="0.75223716811035535"/>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57150</xdr:colOff>
      <xdr:row>4</xdr:row>
      <xdr:rowOff>247650</xdr:rowOff>
    </xdr:from>
    <xdr:to>
      <xdr:col>16</xdr:col>
      <xdr:colOff>42863</xdr:colOff>
      <xdr:row>17</xdr:row>
      <xdr:rowOff>366712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800099</xdr:colOff>
      <xdr:row>20</xdr:row>
      <xdr:rowOff>19050</xdr:rowOff>
    </xdr:from>
    <xdr:to>
      <xdr:col>10</xdr:col>
      <xdr:colOff>19049</xdr:colOff>
      <xdr:row>39</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0.44841</cdr:x>
      <cdr:y>0.28453</cdr:y>
    </cdr:from>
    <cdr:to>
      <cdr:x>0.623</cdr:x>
      <cdr:y>0.41969</cdr:y>
    </cdr:to>
    <cdr:sp macro="" textlink="">
      <cdr:nvSpPr>
        <cdr:cNvPr id="2" name="TextBox 3"/>
        <cdr:cNvSpPr txBox="1"/>
      </cdr:nvSpPr>
      <cdr:spPr>
        <a:xfrm xmlns:a="http://schemas.openxmlformats.org/drawingml/2006/main">
          <a:off x="3064491" y="1150458"/>
          <a:ext cx="1193181" cy="5465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800" i="1"/>
            <a:t>*</a:t>
          </a:r>
          <a:r>
            <a:rPr lang="en-US" sz="800" i="1" baseline="0"/>
            <a:t> Aug. 20, 2018 estimates based on  publicly available sources</a:t>
          </a:r>
          <a:endParaRPr lang="en-US" sz="800" i="1"/>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104775</xdr:colOff>
      <xdr:row>0</xdr:row>
      <xdr:rowOff>276225</xdr:rowOff>
    </xdr:from>
    <xdr:to>
      <xdr:col>16</xdr:col>
      <xdr:colOff>233363</xdr:colOff>
      <xdr:row>23</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0.66722</cdr:x>
      <cdr:y>0.1765</cdr:y>
    </cdr:from>
    <cdr:to>
      <cdr:x>0.84181</cdr:x>
      <cdr:y>0.31166</cdr:y>
    </cdr:to>
    <cdr:sp macro="" textlink="">
      <cdr:nvSpPr>
        <cdr:cNvPr id="2" name="TextBox 3"/>
        <cdr:cNvSpPr txBox="1"/>
      </cdr:nvSpPr>
      <cdr:spPr>
        <a:xfrm xmlns:a="http://schemas.openxmlformats.org/drawingml/2006/main">
          <a:off x="4559916" y="1118791"/>
          <a:ext cx="1193181" cy="8567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800" i="1">
              <a:solidFill>
                <a:schemeClr val="bg1"/>
              </a:solidFill>
            </a:rPr>
            <a:t>*</a:t>
          </a:r>
          <a:r>
            <a:rPr lang="en-US" sz="800" i="1" baseline="0">
              <a:solidFill>
                <a:schemeClr val="bg1"/>
              </a:solidFill>
            </a:rPr>
            <a:t> April 20, 2018 estimates based on  publicly available sources</a:t>
          </a:r>
          <a:endParaRPr lang="en-US" sz="800" i="1">
            <a:solidFill>
              <a:schemeClr val="bg1"/>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466724</xdr:colOff>
      <xdr:row>20</xdr:row>
      <xdr:rowOff>76201</xdr:rowOff>
    </xdr:from>
    <xdr:to>
      <xdr:col>10</xdr:col>
      <xdr:colOff>361949</xdr:colOff>
      <xdr:row>37</xdr:row>
      <xdr:rowOff>138113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532062</xdr:colOff>
      <xdr:row>1</xdr:row>
      <xdr:rowOff>523875</xdr:rowOff>
    </xdr:from>
    <xdr:to>
      <xdr:col>13</xdr:col>
      <xdr:colOff>152399</xdr:colOff>
      <xdr:row>19</xdr:row>
      <xdr:rowOff>19050</xdr:rowOff>
    </xdr:to>
    <xdr:pic>
      <xdr:nvPicPr>
        <xdr:cNvPr id="3" name="Picture 2" descr="Infographic: The Changing Face of Southwest Border Apprehensions | Statis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9262" y="819150"/>
          <a:ext cx="5106737"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495300</xdr:colOff>
      <xdr:row>20</xdr:row>
      <xdr:rowOff>19050</xdr:rowOff>
    </xdr:from>
    <xdr:to>
      <xdr:col>13</xdr:col>
      <xdr:colOff>480060</xdr:colOff>
      <xdr:row>24</xdr:row>
      <xdr:rowOff>838200</xdr:rowOff>
    </xdr:to>
    <xdr:pic>
      <xdr:nvPicPr>
        <xdr:cNvPr id="4" name="Picture 3" descr="homicide-rates-us-mex.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0" y="4876800"/>
          <a:ext cx="5471160"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504825</xdr:colOff>
      <xdr:row>3</xdr:row>
      <xdr:rowOff>142875</xdr:rowOff>
    </xdr:from>
    <xdr:to>
      <xdr:col>11</xdr:col>
      <xdr:colOff>266260</xdr:colOff>
      <xdr:row>8</xdr:row>
      <xdr:rowOff>1799880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96550" y="866775"/>
          <a:ext cx="3523810" cy="2761905"/>
        </a:xfrm>
        <a:prstGeom prst="rect">
          <a:avLst/>
        </a:prstGeom>
      </xdr:spPr>
    </xdr:pic>
    <xdr:clientData/>
  </xdr:twoCellAnchor>
  <xdr:twoCellAnchor editAs="oneCell">
    <xdr:from>
      <xdr:col>5</xdr:col>
      <xdr:colOff>514350</xdr:colOff>
      <xdr:row>8</xdr:row>
      <xdr:rowOff>2152650</xdr:rowOff>
    </xdr:from>
    <xdr:to>
      <xdr:col>11</xdr:col>
      <xdr:colOff>494832</xdr:colOff>
      <xdr:row>9</xdr:row>
      <xdr:rowOff>1323761</xdr:rowOff>
    </xdr:to>
    <xdr:pic>
      <xdr:nvPicPr>
        <xdr:cNvPr id="3" name="Picture 2"/>
        <xdr:cNvPicPr>
          <a:picLocks noChangeAspect="1"/>
        </xdr:cNvPicPr>
      </xdr:nvPicPr>
      <xdr:blipFill>
        <a:blip xmlns:r="http://schemas.openxmlformats.org/officeDocument/2006/relationships" r:embed="rId2"/>
        <a:stretch>
          <a:fillRect/>
        </a:stretch>
      </xdr:blipFill>
      <xdr:spPr>
        <a:xfrm>
          <a:off x="10506075" y="3981450"/>
          <a:ext cx="3742857" cy="171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11</xdr:col>
      <xdr:colOff>294835</xdr:colOff>
      <xdr:row>9</xdr:row>
      <xdr:rowOff>971205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01325" y="1828800"/>
          <a:ext cx="3523810" cy="2761905"/>
        </a:xfrm>
        <a:prstGeom prst="rect">
          <a:avLst/>
        </a:prstGeom>
      </xdr:spPr>
    </xdr:pic>
    <xdr:clientData/>
  </xdr:twoCellAnchor>
  <xdr:twoCellAnchor editAs="oneCell">
    <xdr:from>
      <xdr:col>5</xdr:col>
      <xdr:colOff>466725</xdr:colOff>
      <xdr:row>9</xdr:row>
      <xdr:rowOff>1381125</xdr:rowOff>
    </xdr:from>
    <xdr:to>
      <xdr:col>11</xdr:col>
      <xdr:colOff>371007</xdr:colOff>
      <xdr:row>18</xdr:row>
      <xdr:rowOff>47411</xdr:rowOff>
    </xdr:to>
    <xdr:pic>
      <xdr:nvPicPr>
        <xdr:cNvPr id="3" name="Picture 2"/>
        <xdr:cNvPicPr>
          <a:picLocks noChangeAspect="1"/>
        </xdr:cNvPicPr>
      </xdr:nvPicPr>
      <xdr:blipFill>
        <a:blip xmlns:r="http://schemas.openxmlformats.org/officeDocument/2006/relationships" r:embed="rId2"/>
        <a:stretch>
          <a:fillRect/>
        </a:stretch>
      </xdr:blipFill>
      <xdr:spPr>
        <a:xfrm>
          <a:off x="10458450" y="5000625"/>
          <a:ext cx="3742857" cy="1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P%20Apprehensions%20Inadmissibles%205%20mo%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Appr Inadmiss FY Data"/>
      <sheetName val="A+I"/>
      <sheetName val="Apprehensions"/>
      <sheetName val="Inadmissibles"/>
      <sheetName val="Calendar Data"/>
    </sheetNames>
    <sheetDataSet>
      <sheetData sheetId="0"/>
      <sheetData sheetId="1"/>
      <sheetData sheetId="2"/>
      <sheetData sheetId="3">
        <row r="11">
          <cell r="N11">
            <v>384178.76207819791</v>
          </cell>
        </row>
      </sheetData>
      <sheetData sheetId="4">
        <row r="11">
          <cell r="O11">
            <v>152632.76307916673</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hyperlink" Target="https://www.amnestyusa.org/wp-content/uploads/2017/04/amr410142010eng.pdf" TargetMode="External"/><Relationship Id="rId2" Type="http://schemas.openxmlformats.org/officeDocument/2006/relationships/hyperlink" Target="https://www.amnestyusa.org/wp-content/uploads/2017/04/amr410142010eng.pdf" TargetMode="External"/><Relationship Id="rId1" Type="http://schemas.openxmlformats.org/officeDocument/2006/relationships/hyperlink" Target="https://www.amnestyusa.org/wp-content/uploads/2017/04/amr410142010eng.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amnestyusa.org/wp-content/uploads/2017/04/amr410142010eng.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amnestyusa.org/wp-content/uploads/2017/04/amr410142010eng.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amnestyusa.org/wp-content/uploads/2017/04/amr410142010eng.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thehill.com/blogs/pundits-blog/crime/329589-the-truth-about-crime-illegal-immigrants-and-sanctuary-cities" TargetMode="External"/><Relationship Id="rId13" Type="http://schemas.openxmlformats.org/officeDocument/2006/relationships/hyperlink" Target="http://reason.com/archives/2003/01/29/prohibition-violence" TargetMode="External"/><Relationship Id="rId18" Type="http://schemas.openxmlformats.org/officeDocument/2006/relationships/hyperlink" Target="https://www.therecoveryvillage.com/drug-addiction/drug-trafficking-by-the-numbers/" TargetMode="External"/><Relationship Id="rId3" Type="http://schemas.openxmlformats.org/officeDocument/2006/relationships/hyperlink" Target="https://www.economist.com/news/united-states/21705699-who-are-main-economic-losers-low-skilled-immigration-wage-war" TargetMode="External"/><Relationship Id="rId7" Type="http://schemas.openxmlformats.org/officeDocument/2006/relationships/hyperlink" Target="http://www.latimes.com/projects/la-fi-farms-immigration/" TargetMode="External"/><Relationship Id="rId12" Type="http://schemas.openxmlformats.org/officeDocument/2006/relationships/hyperlink" Target="https://immigration.procon.org/view.source.php?sourceID=004438" TargetMode="External"/><Relationship Id="rId17" Type="http://schemas.openxmlformats.org/officeDocument/2006/relationships/hyperlink" Target="https://www.cbp.gov/sites/default/files/assets/documents/2017-Jan/USBP%20Stats%20FY2016%20sector%20profile.pdf" TargetMode="External"/><Relationship Id="rId2" Type="http://schemas.openxmlformats.org/officeDocument/2006/relationships/hyperlink" Target="http://harvardmagazine.com/2007/05/uneasy-neighbors-a-brief-html" TargetMode="External"/><Relationship Id="rId16" Type="http://schemas.openxmlformats.org/officeDocument/2006/relationships/hyperlink" Target="https://www.csmonitor.com/USA/2017/0928/The-face-of-migration-via-Mexico" TargetMode="External"/><Relationship Id="rId1" Type="http://schemas.openxmlformats.org/officeDocument/2006/relationships/hyperlink" Target="http://www.motherjones.com/kevin-drum/2016/02/arizona-paying-high-price-cracking-down-illegal-immigration/" TargetMode="External"/><Relationship Id="rId6" Type="http://schemas.openxmlformats.org/officeDocument/2006/relationships/hyperlink" Target="https://www.dhs.gov/sites/default/files/publications/17_0914_estimates-of-border-security.pdf" TargetMode="External"/><Relationship Id="rId11" Type="http://schemas.openxmlformats.org/officeDocument/2006/relationships/hyperlink" Target="https://www.pbs.org/wgbh/pages/frontline/social-issues/rape-in-the-fields/female-workers-face-rape-harassment-in-u-s-agriculture-industry/" TargetMode="External"/><Relationship Id="rId5" Type="http://schemas.openxmlformats.org/officeDocument/2006/relationships/hyperlink" Target="http://www.washingtontimes.com/news/2017/may/22/visa-overstays-biggest-problem-illegal-immigration/" TargetMode="External"/><Relationship Id="rId15" Type="http://schemas.openxmlformats.org/officeDocument/2006/relationships/hyperlink" Target="https://drive.google.com/file/d/0B2qOr5xTBM2TZDZhcWdrVjZKeVk/view" TargetMode="External"/><Relationship Id="rId10" Type="http://schemas.openxmlformats.org/officeDocument/2006/relationships/hyperlink" Target="https://warinternational.org/what-goes-unseen/" TargetMode="External"/><Relationship Id="rId19" Type="http://schemas.openxmlformats.org/officeDocument/2006/relationships/printerSettings" Target="../printerSettings/printerSettings9.bin"/><Relationship Id="rId4" Type="http://schemas.openxmlformats.org/officeDocument/2006/relationships/hyperlink" Target="https://www.wsj.com/articles/the-thorny-economics-of-illegal-immigration-1454984443" TargetMode="External"/><Relationship Id="rId9" Type="http://schemas.openxmlformats.org/officeDocument/2006/relationships/hyperlink" Target="https://judiciary.house.gov/wp-content/uploads/2018/01/011018-Securing-Americas-Future-Act-Final.pdf" TargetMode="External"/><Relationship Id="rId14" Type="http://schemas.openxmlformats.org/officeDocument/2006/relationships/hyperlink" Target="https://en.wikipedia.org/wiki/Sexual_assault_of_migrants_from_Latin_America_to_the_United_St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p.gov/sites/default/files/assets/documents/2017-Jan/USBP%20Stats%20FY2016%20sector%20profile.pdf" TargetMode="External"/><Relationship Id="rId2" Type="http://schemas.openxmlformats.org/officeDocument/2006/relationships/hyperlink" Target="https://www.cbp.gov/sites/default/files/assets/documents/2017-Dec/USBP%20Stats%20FY2017%20sector%20profile.pdf" TargetMode="External"/><Relationship Id="rId1" Type="http://schemas.openxmlformats.org/officeDocument/2006/relationships/hyperlink" Target="https://www.cbp.gov/sites/default/files/assets/documents/2018-May/usbp-apprehensions-citizenship-sector-fy2017.pdf"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amnestyusa.org/wp-content/uploads/2017/04/amr410142010eng.pdf" TargetMode="External"/><Relationship Id="rId2" Type="http://schemas.openxmlformats.org/officeDocument/2006/relationships/hyperlink" Target="https://www.amnestyusa.org/wp-content/uploads/2017/04/amr410142010eng.pdf" TargetMode="External"/><Relationship Id="rId1" Type="http://schemas.openxmlformats.org/officeDocument/2006/relationships/hyperlink" Target="https://www.amnestyusa.org/wp-content/uploads/2017/04/amr410142010eng.pdf" TargetMode="Externa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hyperlink" Target="https://www.amnestyusa.org/wp-content/uploads/2017/04/amr410142010eng.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amnestyusa.org/wp-content/uploads/2017/04/amr410142010eng.pdf" TargetMode="External"/><Relationship Id="rId2" Type="http://schemas.openxmlformats.org/officeDocument/2006/relationships/hyperlink" Target="https://www.amnestyusa.org/wp-content/uploads/2017/04/amr410142010eng.pdf" TargetMode="External"/><Relationship Id="rId1" Type="http://schemas.openxmlformats.org/officeDocument/2006/relationships/hyperlink" Target="https://www.amnestyusa.org/wp-content/uploads/2017/04/amr410142010eng.pdf" TargetMode="External"/><Relationship Id="rId5" Type="http://schemas.openxmlformats.org/officeDocument/2006/relationships/hyperlink" Target="https://www.amnestyusa.org/wp-content/uploads/2017/04/amr410142010eng.pdf" TargetMode="External"/><Relationship Id="rId4" Type="http://schemas.openxmlformats.org/officeDocument/2006/relationships/hyperlink" Target="https://www.amnestyusa.org/wp-content/uploads/2017/04/amr410142010e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4"/>
  <sheetViews>
    <sheetView workbookViewId="0">
      <selection activeCell="D1" sqref="D1"/>
    </sheetView>
  </sheetViews>
  <sheetFormatPr defaultRowHeight="15" x14ac:dyDescent="0.25"/>
  <cols>
    <col min="1" max="1" width="28.85546875" customWidth="1"/>
    <col min="2" max="2" width="69.7109375" customWidth="1"/>
  </cols>
  <sheetData>
    <row r="1" spans="1:5" ht="23.25" x14ac:dyDescent="0.35">
      <c r="A1" s="28" t="s">
        <v>15</v>
      </c>
      <c r="B1" s="18"/>
      <c r="C1" s="18"/>
      <c r="D1" s="18"/>
      <c r="E1" s="18"/>
    </row>
    <row r="2" spans="1:5" ht="99.75" customHeight="1" x14ac:dyDescent="0.25">
      <c r="A2" s="127" t="s">
        <v>14</v>
      </c>
      <c r="B2" s="127"/>
      <c r="C2" s="18"/>
      <c r="D2" s="18"/>
      <c r="E2" s="18"/>
    </row>
    <row r="3" spans="1:5" x14ac:dyDescent="0.25">
      <c r="A3" s="18"/>
      <c r="B3" s="18"/>
      <c r="C3" s="18"/>
      <c r="D3" s="18"/>
      <c r="E3" s="18"/>
    </row>
    <row r="4" spans="1:5" ht="18.75" x14ac:dyDescent="0.3">
      <c r="A4" s="9" t="s">
        <v>309</v>
      </c>
      <c r="B4" s="6" t="s">
        <v>18</v>
      </c>
      <c r="C4" s="18"/>
      <c r="D4" s="18"/>
      <c r="E4" s="18"/>
    </row>
    <row r="5" spans="1:5" ht="44.25" customHeight="1" x14ac:dyDescent="0.25">
      <c r="A5" s="30" t="s">
        <v>17</v>
      </c>
      <c r="B5" s="30" t="s">
        <v>315</v>
      </c>
      <c r="C5" s="18"/>
      <c r="D5" s="18"/>
      <c r="E5" s="18"/>
    </row>
    <row r="6" spans="1:5" ht="44.25" customHeight="1" x14ac:dyDescent="0.25">
      <c r="A6" s="30" t="s">
        <v>310</v>
      </c>
      <c r="B6" s="30" t="s">
        <v>354</v>
      </c>
      <c r="C6" s="18"/>
      <c r="D6" s="18"/>
      <c r="E6" s="18"/>
    </row>
    <row r="7" spans="1:5" ht="44.25" customHeight="1" x14ac:dyDescent="0.25">
      <c r="A7" s="30" t="s">
        <v>311</v>
      </c>
      <c r="B7" s="30"/>
      <c r="C7" s="18"/>
      <c r="D7" s="18"/>
      <c r="E7" s="18"/>
    </row>
    <row r="8" spans="1:5" ht="44.25" customHeight="1" x14ac:dyDescent="0.25">
      <c r="A8" s="30" t="s">
        <v>312</v>
      </c>
      <c r="B8" s="30" t="s">
        <v>380</v>
      </c>
      <c r="C8" s="18"/>
      <c r="D8" s="18"/>
      <c r="E8" s="18"/>
    </row>
    <row r="9" spans="1:5" ht="44.25" customHeight="1" x14ac:dyDescent="0.25">
      <c r="A9" s="30" t="s">
        <v>43</v>
      </c>
      <c r="B9" s="30" t="s">
        <v>313</v>
      </c>
      <c r="C9" s="18"/>
      <c r="D9" s="18"/>
      <c r="E9" s="18"/>
    </row>
    <row r="10" spans="1:5" ht="44.25" customHeight="1" x14ac:dyDescent="0.25">
      <c r="A10" s="30" t="s">
        <v>44</v>
      </c>
      <c r="B10" s="30" t="s">
        <v>316</v>
      </c>
      <c r="C10" s="18"/>
      <c r="D10" s="18"/>
      <c r="E10" s="18"/>
    </row>
    <row r="11" spans="1:5" ht="44.25" customHeight="1" x14ac:dyDescent="0.25">
      <c r="A11" s="30" t="s">
        <v>320</v>
      </c>
      <c r="B11" s="30" t="s">
        <v>321</v>
      </c>
      <c r="C11" s="18"/>
      <c r="D11" s="18"/>
      <c r="E11" s="18"/>
    </row>
    <row r="12" spans="1:5" ht="58.5" customHeight="1" x14ac:dyDescent="0.25">
      <c r="A12" s="30" t="s">
        <v>37</v>
      </c>
      <c r="B12" s="30" t="s">
        <v>353</v>
      </c>
      <c r="C12" s="18"/>
      <c r="D12" s="18"/>
      <c r="E12" s="18"/>
    </row>
    <row r="13" spans="1:5" ht="85.5" customHeight="1" x14ac:dyDescent="0.25">
      <c r="A13" s="30" t="s">
        <v>286</v>
      </c>
      <c r="B13" s="30" t="s">
        <v>317</v>
      </c>
      <c r="C13" s="18"/>
      <c r="D13" s="18"/>
      <c r="E13" s="18"/>
    </row>
    <row r="14" spans="1:5" ht="44.25" customHeight="1" x14ac:dyDescent="0.25">
      <c r="A14" s="30" t="s">
        <v>243</v>
      </c>
      <c r="B14" s="30" t="s">
        <v>314</v>
      </c>
      <c r="C14" s="18"/>
      <c r="D14" s="18"/>
      <c r="E14" s="18"/>
    </row>
  </sheetData>
  <mergeCells count="1">
    <mergeCell ref="A2:B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7"/>
  <sheetViews>
    <sheetView workbookViewId="0">
      <selection activeCell="C6" sqref="C6"/>
    </sheetView>
  </sheetViews>
  <sheetFormatPr defaultRowHeight="15" x14ac:dyDescent="0.25"/>
  <cols>
    <col min="1" max="1" width="67.7109375" customWidth="1"/>
    <col min="2" max="2" width="43.85546875" customWidth="1"/>
    <col min="3" max="3" width="29.42578125" customWidth="1"/>
    <col min="4" max="4" width="37" customWidth="1"/>
  </cols>
  <sheetData>
    <row r="1" spans="1:4" ht="23.25" x14ac:dyDescent="0.35">
      <c r="A1" s="28" t="s">
        <v>19</v>
      </c>
      <c r="B1" s="18"/>
      <c r="C1" s="18"/>
      <c r="D1" s="18"/>
    </row>
    <row r="2" spans="1:4" ht="10.5" customHeight="1" x14ac:dyDescent="0.35">
      <c r="A2" s="28"/>
      <c r="B2" s="18"/>
      <c r="C2" s="18"/>
      <c r="D2" s="18"/>
    </row>
    <row r="3" spans="1:4" ht="23.25" customHeight="1" x14ac:dyDescent="0.25">
      <c r="A3" s="128" t="s">
        <v>29</v>
      </c>
      <c r="B3" s="128"/>
      <c r="C3" s="128"/>
      <c r="D3" s="18"/>
    </row>
    <row r="4" spans="1:4" ht="18.75" x14ac:dyDescent="0.3">
      <c r="A4" s="9" t="s">
        <v>158</v>
      </c>
      <c r="B4" s="9" t="s">
        <v>160</v>
      </c>
      <c r="C4" s="9" t="s">
        <v>161</v>
      </c>
      <c r="D4" s="9" t="s">
        <v>27</v>
      </c>
    </row>
    <row r="5" spans="1:4" s="2" customFormat="1" ht="17.25" customHeight="1" x14ac:dyDescent="0.25">
      <c r="A5" s="46" t="s">
        <v>241</v>
      </c>
      <c r="B5" s="51"/>
      <c r="C5" s="52"/>
      <c r="D5" s="45"/>
    </row>
    <row r="6" spans="1:4" s="2" customFormat="1" ht="15.75" customHeight="1" x14ac:dyDescent="0.25">
      <c r="A6" s="41" t="s">
        <v>242</v>
      </c>
      <c r="B6" s="51"/>
      <c r="C6" s="43">
        <v>20000</v>
      </c>
      <c r="D6" s="45" t="s">
        <v>26</v>
      </c>
    </row>
    <row r="7" spans="1:4" s="2" customFormat="1" ht="15.75" customHeight="1" x14ac:dyDescent="0.25">
      <c r="A7" s="41" t="s">
        <v>270</v>
      </c>
      <c r="B7" s="41"/>
      <c r="C7" s="43">
        <v>10000</v>
      </c>
      <c r="D7" s="30" t="s">
        <v>271</v>
      </c>
    </row>
    <row r="8" spans="1:4" s="2" customFormat="1" ht="15.75" customHeight="1" x14ac:dyDescent="0.25">
      <c r="A8" s="46" t="s">
        <v>159</v>
      </c>
      <c r="B8" s="48" t="s">
        <v>240</v>
      </c>
      <c r="C8" s="48" t="s">
        <v>240</v>
      </c>
      <c r="D8" s="45"/>
    </row>
    <row r="9" spans="1:4" s="2" customFormat="1" ht="15.75" customHeight="1" x14ac:dyDescent="0.25">
      <c r="A9" s="41"/>
      <c r="B9" s="41"/>
      <c r="C9" s="51"/>
      <c r="D9" s="45"/>
    </row>
    <row r="10" spans="1:4" s="2" customFormat="1" ht="15.75" customHeight="1" x14ac:dyDescent="0.25">
      <c r="A10" s="46" t="s">
        <v>231</v>
      </c>
      <c r="B10" s="50">
        <v>30000</v>
      </c>
      <c r="C10" s="48">
        <v>30000</v>
      </c>
      <c r="D10" s="45"/>
    </row>
    <row r="11" spans="1:4" x14ac:dyDescent="0.25">
      <c r="A11" s="18"/>
      <c r="B11" s="18"/>
      <c r="C11" s="18"/>
      <c r="D11" s="18"/>
    </row>
    <row r="12" spans="1:4" ht="18.75" x14ac:dyDescent="0.3">
      <c r="A12" s="6" t="s">
        <v>276</v>
      </c>
      <c r="B12" s="6" t="s">
        <v>21</v>
      </c>
      <c r="C12" s="6" t="s">
        <v>22</v>
      </c>
      <c r="D12" s="6" t="s">
        <v>27</v>
      </c>
    </row>
    <row r="13" spans="1:4" ht="57" customHeight="1" x14ac:dyDescent="0.25">
      <c r="A13" s="3" t="s">
        <v>23</v>
      </c>
      <c r="B13" s="3" t="s">
        <v>28</v>
      </c>
      <c r="C13" s="3" t="s">
        <v>25</v>
      </c>
      <c r="D13" s="7" t="s">
        <v>26</v>
      </c>
    </row>
    <row r="14" spans="1:4" ht="175.5" customHeight="1" x14ac:dyDescent="0.25">
      <c r="A14" s="3" t="s">
        <v>364</v>
      </c>
      <c r="B14" s="3" t="s">
        <v>239</v>
      </c>
      <c r="C14" s="3" t="s">
        <v>42</v>
      </c>
      <c r="D14" s="7" t="s">
        <v>26</v>
      </c>
    </row>
    <row r="15" spans="1:4" ht="63.75" customHeight="1" x14ac:dyDescent="0.25">
      <c r="A15" s="3" t="s">
        <v>249</v>
      </c>
      <c r="B15" s="3"/>
      <c r="C15" s="3" t="s">
        <v>366</v>
      </c>
      <c r="D15" s="3" t="s">
        <v>250</v>
      </c>
    </row>
    <row r="16" spans="1:4" ht="60" x14ac:dyDescent="0.25">
      <c r="A16" s="3" t="s">
        <v>363</v>
      </c>
      <c r="B16" s="3" t="s">
        <v>277</v>
      </c>
      <c r="C16" s="3" t="s">
        <v>365</v>
      </c>
      <c r="D16" s="3" t="s">
        <v>269</v>
      </c>
    </row>
    <row r="17" spans="1:1" ht="18" x14ac:dyDescent="0.25">
      <c r="A17" s="21"/>
    </row>
  </sheetData>
  <mergeCells count="1">
    <mergeCell ref="A3:C3"/>
  </mergeCells>
  <hyperlinks>
    <hyperlink ref="D13" r:id="rId1"/>
    <hyperlink ref="D14" r:id="rId2"/>
    <hyperlink ref="D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4"/>
  <sheetViews>
    <sheetView workbookViewId="0">
      <selection activeCell="B7" sqref="B7"/>
    </sheetView>
  </sheetViews>
  <sheetFormatPr defaultRowHeight="15" x14ac:dyDescent="0.25"/>
  <cols>
    <col min="1" max="1" width="43.5703125" customWidth="1"/>
    <col min="2" max="2" width="38.5703125" customWidth="1"/>
    <col min="3" max="3" width="32.85546875" customWidth="1"/>
    <col min="4" max="4" width="37" customWidth="1"/>
  </cols>
  <sheetData>
    <row r="1" spans="1:4" ht="23.25" x14ac:dyDescent="0.35">
      <c r="A1" s="28" t="s">
        <v>164</v>
      </c>
      <c r="B1" s="18"/>
      <c r="C1" s="18"/>
      <c r="D1" s="18"/>
    </row>
    <row r="2" spans="1:4" ht="10.5" customHeight="1" x14ac:dyDescent="0.35">
      <c r="A2" s="28"/>
      <c r="B2" s="18"/>
      <c r="C2" s="18"/>
      <c r="D2" s="18"/>
    </row>
    <row r="3" spans="1:4" ht="23.25" customHeight="1" x14ac:dyDescent="0.25">
      <c r="A3" s="56" t="s">
        <v>381</v>
      </c>
      <c r="B3" s="56"/>
      <c r="C3" s="56"/>
      <c r="D3" s="41"/>
    </row>
    <row r="4" spans="1:4" ht="18.75" x14ac:dyDescent="0.3">
      <c r="A4" s="8" t="s">
        <v>158</v>
      </c>
      <c r="B4" s="8" t="s">
        <v>160</v>
      </c>
      <c r="C4" s="8" t="s">
        <v>161</v>
      </c>
      <c r="D4" s="8" t="s">
        <v>27</v>
      </c>
    </row>
    <row r="5" spans="1:4" s="2" customFormat="1" ht="17.25" customHeight="1" x14ac:dyDescent="0.25">
      <c r="A5" s="41" t="s">
        <v>5</v>
      </c>
      <c r="B5" s="49">
        <v>10000</v>
      </c>
      <c r="C5" s="52" t="s">
        <v>254</v>
      </c>
      <c r="D5" s="41"/>
    </row>
    <row r="6" spans="1:4" s="2" customFormat="1" ht="17.25" customHeight="1" x14ac:dyDescent="0.25">
      <c r="A6" s="41" t="s">
        <v>159</v>
      </c>
      <c r="B6" s="49">
        <v>17000</v>
      </c>
      <c r="C6" s="49">
        <v>17000</v>
      </c>
      <c r="D6" s="41"/>
    </row>
    <row r="7" spans="1:4" x14ac:dyDescent="0.25">
      <c r="A7" s="18"/>
      <c r="B7" s="18"/>
      <c r="C7" s="18"/>
      <c r="D7" s="18"/>
    </row>
    <row r="8" spans="1:4" ht="18.75" x14ac:dyDescent="0.3">
      <c r="A8" s="8" t="s">
        <v>20</v>
      </c>
      <c r="B8" s="8" t="s">
        <v>21</v>
      </c>
      <c r="C8" s="8" t="s">
        <v>22</v>
      </c>
      <c r="D8" s="8" t="s">
        <v>27</v>
      </c>
    </row>
    <row r="9" spans="1:4" ht="72.75" customHeight="1" x14ac:dyDescent="0.25">
      <c r="A9" s="3" t="s">
        <v>156</v>
      </c>
      <c r="B9" s="3" t="s">
        <v>157</v>
      </c>
      <c r="C9" s="3" t="s">
        <v>162</v>
      </c>
      <c r="D9" s="7" t="s">
        <v>57</v>
      </c>
    </row>
    <row r="10" spans="1:4" ht="114.75" customHeight="1" x14ac:dyDescent="0.25">
      <c r="A10" s="3" t="s">
        <v>163</v>
      </c>
      <c r="B10" s="3" t="s">
        <v>165</v>
      </c>
      <c r="C10" s="3" t="s">
        <v>162</v>
      </c>
      <c r="D10" s="7" t="s">
        <v>57</v>
      </c>
    </row>
    <row r="11" spans="1:4" ht="56.25" customHeight="1" x14ac:dyDescent="0.25">
      <c r="A11" s="14" t="s">
        <v>367</v>
      </c>
      <c r="B11" s="3" t="s">
        <v>253</v>
      </c>
      <c r="C11" s="3" t="s">
        <v>252</v>
      </c>
      <c r="D11" s="7" t="s">
        <v>251</v>
      </c>
    </row>
    <row r="12" spans="1:4" ht="131.25" customHeight="1" x14ac:dyDescent="0.25">
      <c r="A12" s="3" t="s">
        <v>368</v>
      </c>
      <c r="C12" s="3" t="s">
        <v>262</v>
      </c>
      <c r="D12" s="7" t="s">
        <v>261</v>
      </c>
    </row>
    <row r="13" spans="1:4" ht="135" x14ac:dyDescent="0.25">
      <c r="A13" s="3" t="s">
        <v>369</v>
      </c>
      <c r="B13" s="3" t="s">
        <v>268</v>
      </c>
      <c r="C13" s="3" t="s">
        <v>264</v>
      </c>
      <c r="D13" s="7" t="s">
        <v>263</v>
      </c>
    </row>
    <row r="14" spans="1:4" ht="83.25" customHeight="1" x14ac:dyDescent="0.25">
      <c r="A14" s="3" t="s">
        <v>370</v>
      </c>
      <c r="B14" s="20" t="s">
        <v>265</v>
      </c>
      <c r="C14" s="3" t="s">
        <v>266</v>
      </c>
      <c r="D14" s="7" t="s">
        <v>267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14"/>
  <sheetViews>
    <sheetView workbookViewId="0"/>
  </sheetViews>
  <sheetFormatPr defaultRowHeight="15" x14ac:dyDescent="0.25"/>
  <cols>
    <col min="1" max="1" width="43.5703125" customWidth="1"/>
    <col min="2" max="2" width="30.7109375" customWidth="1"/>
    <col min="3" max="3" width="29.42578125" customWidth="1"/>
    <col min="4" max="4" width="37" customWidth="1"/>
    <col min="8" max="8" width="9.5703125" bestFit="1" customWidth="1"/>
    <col min="9" max="9" width="9.28515625" bestFit="1" customWidth="1"/>
    <col min="10" max="10" width="9.5703125" bestFit="1" customWidth="1"/>
    <col min="11" max="11" width="9.7109375" bestFit="1" customWidth="1"/>
    <col min="12" max="12" width="10.5703125" bestFit="1" customWidth="1"/>
    <col min="13" max="13" width="11.5703125" bestFit="1" customWidth="1"/>
  </cols>
  <sheetData>
    <row r="1" spans="1:13" ht="23.25" x14ac:dyDescent="0.35">
      <c r="A1" s="28" t="s">
        <v>43</v>
      </c>
      <c r="B1" s="18"/>
      <c r="C1" s="18"/>
      <c r="D1" s="18"/>
    </row>
    <row r="2" spans="1:13" ht="10.5" customHeight="1" x14ac:dyDescent="0.35">
      <c r="A2" s="28"/>
      <c r="B2" s="18"/>
      <c r="C2" s="18"/>
      <c r="D2" s="18"/>
    </row>
    <row r="3" spans="1:13" ht="23.25" customHeight="1" x14ac:dyDescent="0.25">
      <c r="A3" s="56" t="s">
        <v>378</v>
      </c>
      <c r="B3" s="56"/>
      <c r="C3" s="56"/>
      <c r="D3" s="41"/>
      <c r="M3" s="12">
        <v>400000</v>
      </c>
    </row>
    <row r="4" spans="1:13" ht="18.75" x14ac:dyDescent="0.3">
      <c r="A4" s="9" t="s">
        <v>158</v>
      </c>
      <c r="B4" s="9" t="s">
        <v>160</v>
      </c>
      <c r="C4" s="9" t="s">
        <v>161</v>
      </c>
      <c r="D4" s="9" t="s">
        <v>27</v>
      </c>
      <c r="M4" s="24">
        <v>0.54</v>
      </c>
    </row>
    <row r="5" spans="1:13" s="2" customFormat="1" ht="17.25" customHeight="1" x14ac:dyDescent="0.25">
      <c r="A5" s="46" t="s">
        <v>5</v>
      </c>
      <c r="B5" s="50">
        <v>48000</v>
      </c>
      <c r="C5" s="48">
        <f>++ROUND(M5*M6,-3)</f>
        <v>11000</v>
      </c>
      <c r="D5" s="41"/>
      <c r="M5" s="13">
        <f>+M3/M4</f>
        <v>740740.74074074067</v>
      </c>
    </row>
    <row r="6" spans="1:13" s="2" customFormat="1" ht="17.25" customHeight="1" x14ac:dyDescent="0.25">
      <c r="A6" s="46" t="s">
        <v>159</v>
      </c>
      <c r="B6" s="48">
        <v>2000</v>
      </c>
      <c r="C6" s="48"/>
      <c r="D6" s="41"/>
      <c r="M6" s="25">
        <v>1.4999999999999999E-2</v>
      </c>
    </row>
    <row r="7" spans="1:13" x14ac:dyDescent="0.25">
      <c r="A7" s="18"/>
      <c r="B7" s="18"/>
      <c r="C7" s="18"/>
      <c r="D7" s="18"/>
    </row>
    <row r="8" spans="1:13" ht="18.75" x14ac:dyDescent="0.3">
      <c r="A8" s="6" t="s">
        <v>20</v>
      </c>
      <c r="B8" s="6" t="s">
        <v>21</v>
      </c>
      <c r="C8" s="6" t="s">
        <v>22</v>
      </c>
      <c r="D8" s="6" t="s">
        <v>27</v>
      </c>
    </row>
    <row r="9" spans="1:13" ht="200.25" customHeight="1" x14ac:dyDescent="0.25">
      <c r="A9" s="30" t="s">
        <v>306</v>
      </c>
      <c r="B9" s="30" t="s">
        <v>308</v>
      </c>
      <c r="C9" s="30" t="s">
        <v>211</v>
      </c>
      <c r="D9" s="45" t="s">
        <v>144</v>
      </c>
    </row>
    <row r="10" spans="1:13" ht="118.5" customHeight="1" x14ac:dyDescent="0.25">
      <c r="A10" s="30" t="s">
        <v>371</v>
      </c>
      <c r="B10" s="30" t="s">
        <v>24</v>
      </c>
      <c r="C10" s="30" t="s">
        <v>25</v>
      </c>
      <c r="D10" s="45" t="s">
        <v>26</v>
      </c>
    </row>
    <row r="12" spans="1:13" x14ac:dyDescent="0.25">
      <c r="G12" s="12">
        <v>3941</v>
      </c>
      <c r="H12" s="23">
        <f>+G12/G13</f>
        <v>0.74386560966402415</v>
      </c>
      <c r="I12" s="12">
        <v>4341</v>
      </c>
      <c r="J12" s="12">
        <f>+I12*H12</f>
        <v>3229.1206115515288</v>
      </c>
      <c r="K12" s="12">
        <v>32000</v>
      </c>
      <c r="L12" s="23">
        <f>+J12/K12</f>
        <v>0.10091001911098528</v>
      </c>
    </row>
    <row r="13" spans="1:13" x14ac:dyDescent="0.25">
      <c r="G13" s="12">
        <v>5298</v>
      </c>
      <c r="H13" s="12"/>
      <c r="I13" s="12">
        <v>215</v>
      </c>
      <c r="J13" s="12">
        <f>+I13*H12</f>
        <v>159.93110607776518</v>
      </c>
      <c r="K13" s="12">
        <v>32000</v>
      </c>
      <c r="L13" s="23">
        <f>+J13/K13</f>
        <v>4.9978470649301616E-3</v>
      </c>
    </row>
    <row r="14" spans="1:13" x14ac:dyDescent="0.25">
      <c r="K14" s="12"/>
    </row>
  </sheetData>
  <hyperlinks>
    <hyperlink ref="D10"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3"/>
  <sheetViews>
    <sheetView workbookViewId="0">
      <selection activeCell="B10" sqref="B10"/>
    </sheetView>
  </sheetViews>
  <sheetFormatPr defaultRowHeight="15" x14ac:dyDescent="0.25"/>
  <cols>
    <col min="1" max="1" width="43.5703125" customWidth="1"/>
    <col min="2" max="2" width="30.7109375" customWidth="1"/>
    <col min="3" max="3" width="29.42578125" customWidth="1"/>
    <col min="4" max="4" width="37" customWidth="1"/>
    <col min="7" max="7" width="9.5703125" bestFit="1" customWidth="1"/>
    <col min="9" max="10" width="9.5703125" bestFit="1" customWidth="1"/>
    <col min="11" max="11" width="10.5703125" bestFit="1" customWidth="1"/>
    <col min="12" max="12" width="9.28515625" bestFit="1" customWidth="1"/>
    <col min="13" max="13" width="11.5703125" bestFit="1" customWidth="1"/>
  </cols>
  <sheetData>
    <row r="1" spans="1:13" ht="23.25" x14ac:dyDescent="0.35">
      <c r="A1" s="28" t="s">
        <v>44</v>
      </c>
      <c r="B1" s="18"/>
      <c r="C1" s="18"/>
      <c r="D1" s="18"/>
    </row>
    <row r="2" spans="1:13" ht="10.5" customHeight="1" x14ac:dyDescent="0.35">
      <c r="A2" s="28"/>
      <c r="B2" s="18"/>
      <c r="C2" s="18"/>
      <c r="D2" s="18"/>
    </row>
    <row r="3" spans="1:13" ht="23.25" customHeight="1" x14ac:dyDescent="0.25">
      <c r="A3" s="56" t="s">
        <v>379</v>
      </c>
      <c r="B3" s="56"/>
      <c r="C3" s="56"/>
      <c r="D3" s="41"/>
      <c r="M3" s="12">
        <v>400000</v>
      </c>
    </row>
    <row r="4" spans="1:13" ht="18.75" x14ac:dyDescent="0.3">
      <c r="A4" s="9" t="s">
        <v>158</v>
      </c>
      <c r="B4" s="9" t="s">
        <v>160</v>
      </c>
      <c r="C4" s="9" t="s">
        <v>161</v>
      </c>
      <c r="D4" s="9" t="s">
        <v>27</v>
      </c>
      <c r="M4" s="24">
        <v>0.54</v>
      </c>
    </row>
    <row r="5" spans="1:13" s="2" customFormat="1" ht="17.25" customHeight="1" x14ac:dyDescent="0.25">
      <c r="A5" s="46" t="s">
        <v>5</v>
      </c>
      <c r="B5" s="50">
        <v>96000</v>
      </c>
      <c r="C5" s="48">
        <f>++ROUND(M5*M6,-3)</f>
        <v>185000</v>
      </c>
      <c r="D5" s="41"/>
      <c r="M5" s="13">
        <f>+M3/M4</f>
        <v>740740.74074074067</v>
      </c>
    </row>
    <row r="6" spans="1:13" s="2" customFormat="1" ht="17.25" customHeight="1" x14ac:dyDescent="0.25">
      <c r="A6" s="46" t="s">
        <v>159</v>
      </c>
      <c r="B6" s="48">
        <v>2000</v>
      </c>
      <c r="C6" s="48"/>
      <c r="D6" s="41"/>
      <c r="M6" s="25">
        <v>0.25</v>
      </c>
    </row>
    <row r="7" spans="1:13" x14ac:dyDescent="0.25">
      <c r="A7" s="18"/>
      <c r="B7" s="18"/>
      <c r="C7" s="18"/>
      <c r="D7" s="18"/>
    </row>
    <row r="8" spans="1:13" ht="18.75" x14ac:dyDescent="0.3">
      <c r="A8" s="9" t="s">
        <v>20</v>
      </c>
      <c r="B8" s="9" t="s">
        <v>21</v>
      </c>
      <c r="C8" s="9" t="s">
        <v>22</v>
      </c>
      <c r="D8" s="9" t="s">
        <v>27</v>
      </c>
    </row>
    <row r="9" spans="1:13" ht="141" customHeight="1" x14ac:dyDescent="0.25">
      <c r="A9" s="30" t="s">
        <v>307</v>
      </c>
      <c r="B9" s="30" t="s">
        <v>404</v>
      </c>
      <c r="C9" s="30" t="s">
        <v>211</v>
      </c>
      <c r="D9" s="45" t="s">
        <v>144</v>
      </c>
    </row>
    <row r="10" spans="1:13" ht="120" x14ac:dyDescent="0.25">
      <c r="A10" s="30" t="s">
        <v>372</v>
      </c>
      <c r="B10" s="30" t="s">
        <v>24</v>
      </c>
      <c r="C10" s="30" t="s">
        <v>25</v>
      </c>
      <c r="D10" s="45" t="s">
        <v>26</v>
      </c>
    </row>
    <row r="11" spans="1:13" x14ac:dyDescent="0.25">
      <c r="A11" s="18"/>
      <c r="B11" s="18"/>
      <c r="C11" s="18"/>
      <c r="D11" s="18"/>
    </row>
    <row r="12" spans="1:13" x14ac:dyDescent="0.25">
      <c r="A12" s="18"/>
      <c r="B12" s="18"/>
      <c r="C12" s="18"/>
      <c r="D12" s="18"/>
    </row>
    <row r="21" spans="7:12" x14ac:dyDescent="0.25">
      <c r="G21" s="12">
        <v>3941</v>
      </c>
      <c r="H21" s="23">
        <f>+G21/G22</f>
        <v>0.74386560966402415</v>
      </c>
      <c r="I21" s="12">
        <v>4341</v>
      </c>
      <c r="J21" s="12">
        <f>+I21*H21</f>
        <v>3229.1206115515288</v>
      </c>
      <c r="K21" s="12">
        <v>32000</v>
      </c>
      <c r="L21" s="23">
        <f>+J21/K21</f>
        <v>0.10091001911098528</v>
      </c>
    </row>
    <row r="22" spans="7:12" x14ac:dyDescent="0.25">
      <c r="G22" s="12">
        <v>5298</v>
      </c>
      <c r="H22" s="12"/>
      <c r="I22" s="12">
        <v>215</v>
      </c>
      <c r="J22" s="12">
        <f>+I22*H21</f>
        <v>159.93110607776518</v>
      </c>
      <c r="K22" s="12">
        <v>32000</v>
      </c>
      <c r="L22" s="23">
        <f>+J22/K22</f>
        <v>4.9978470649301616E-3</v>
      </c>
    </row>
    <row r="23" spans="7:12" x14ac:dyDescent="0.25">
      <c r="J23" s="12"/>
    </row>
  </sheetData>
  <hyperlinks>
    <hyperlink ref="D10"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0"/>
  <sheetViews>
    <sheetView workbookViewId="0">
      <selection activeCell="B8" sqref="B8"/>
    </sheetView>
  </sheetViews>
  <sheetFormatPr defaultRowHeight="15" x14ac:dyDescent="0.25"/>
  <cols>
    <col min="1" max="1" width="48.42578125" customWidth="1"/>
    <col min="2" max="2" width="48.5703125" customWidth="1"/>
    <col min="3" max="3" width="29.42578125" customWidth="1"/>
    <col min="4" max="4" width="37" customWidth="1"/>
  </cols>
  <sheetData>
    <row r="1" spans="1:4" ht="23.25" x14ac:dyDescent="0.35">
      <c r="A1" s="28" t="s">
        <v>37</v>
      </c>
      <c r="B1" s="18"/>
      <c r="C1" s="18"/>
      <c r="D1" s="18"/>
    </row>
    <row r="2" spans="1:4" ht="10.5" customHeight="1" x14ac:dyDescent="0.35">
      <c r="A2" s="28"/>
      <c r="B2" s="18"/>
      <c r="C2" s="18"/>
      <c r="D2" s="18"/>
    </row>
    <row r="3" spans="1:4" ht="23.25" customHeight="1" x14ac:dyDescent="0.25">
      <c r="A3" s="57" t="s">
        <v>38</v>
      </c>
      <c r="B3" s="56"/>
      <c r="C3" s="56"/>
      <c r="D3" s="41"/>
    </row>
    <row r="4" spans="1:4" ht="18.75" x14ac:dyDescent="0.3">
      <c r="A4" s="9" t="s">
        <v>158</v>
      </c>
      <c r="B4" s="9" t="s">
        <v>160</v>
      </c>
      <c r="C4" s="9" t="s">
        <v>161</v>
      </c>
      <c r="D4" s="9" t="s">
        <v>27</v>
      </c>
    </row>
    <row r="5" spans="1:4" s="2" customFormat="1" ht="17.25" customHeight="1" x14ac:dyDescent="0.25">
      <c r="A5" s="46" t="s">
        <v>5</v>
      </c>
      <c r="B5" s="49"/>
      <c r="C5" s="52"/>
      <c r="D5" s="41"/>
    </row>
    <row r="6" spans="1:4" s="2" customFormat="1" ht="17.25" customHeight="1" x14ac:dyDescent="0.25">
      <c r="A6" s="41" t="s">
        <v>292</v>
      </c>
      <c r="B6" s="49"/>
      <c r="C6" s="49">
        <v>160000</v>
      </c>
      <c r="D6" s="30" t="s">
        <v>144</v>
      </c>
    </row>
    <row r="7" spans="1:4" s="2" customFormat="1" ht="17.25" customHeight="1" x14ac:dyDescent="0.25">
      <c r="A7" s="41" t="s">
        <v>297</v>
      </c>
      <c r="B7" s="49"/>
      <c r="C7" s="52" t="s">
        <v>299</v>
      </c>
      <c r="D7" s="41"/>
    </row>
    <row r="8" spans="1:4" s="2" customFormat="1" ht="17.25" customHeight="1" x14ac:dyDescent="0.25">
      <c r="A8" s="46" t="s">
        <v>298</v>
      </c>
      <c r="B8" s="50">
        <v>20000</v>
      </c>
      <c r="C8" s="48" t="s">
        <v>300</v>
      </c>
      <c r="D8" s="41"/>
    </row>
    <row r="9" spans="1:4" s="2" customFormat="1" ht="17.25" customHeight="1" x14ac:dyDescent="0.25">
      <c r="A9" s="41"/>
      <c r="B9" s="49"/>
      <c r="C9" s="52"/>
      <c r="D9" s="41"/>
    </row>
    <row r="10" spans="1:4" s="2" customFormat="1" ht="17.25" customHeight="1" x14ac:dyDescent="0.25">
      <c r="A10" s="46" t="s">
        <v>159</v>
      </c>
      <c r="B10" s="49"/>
      <c r="C10" s="49"/>
      <c r="D10" s="41"/>
    </row>
    <row r="11" spans="1:4" s="2" customFormat="1" ht="17.25" customHeight="1" x14ac:dyDescent="0.25">
      <c r="A11" s="41" t="s">
        <v>291</v>
      </c>
      <c r="B11" s="49"/>
      <c r="C11" s="49">
        <v>100000</v>
      </c>
      <c r="D11" s="30" t="s">
        <v>279</v>
      </c>
    </row>
    <row r="12" spans="1:4" s="2" customFormat="1" ht="17.25" customHeight="1" x14ac:dyDescent="0.25">
      <c r="A12" s="41" t="s">
        <v>292</v>
      </c>
      <c r="B12" s="49"/>
      <c r="C12" s="49">
        <v>300000</v>
      </c>
      <c r="D12" s="30" t="s">
        <v>279</v>
      </c>
    </row>
    <row r="13" spans="1:4" s="2" customFormat="1" ht="17.25" customHeight="1" x14ac:dyDescent="0.25">
      <c r="A13" s="41" t="s">
        <v>293</v>
      </c>
      <c r="B13" s="49"/>
      <c r="C13" s="58" t="s">
        <v>294</v>
      </c>
      <c r="D13" s="41"/>
    </row>
    <row r="14" spans="1:4" s="2" customFormat="1" ht="17.25" customHeight="1" x14ac:dyDescent="0.25">
      <c r="A14" s="46" t="s">
        <v>301</v>
      </c>
      <c r="B14" s="48">
        <v>100000</v>
      </c>
      <c r="C14" s="48" t="s">
        <v>295</v>
      </c>
      <c r="D14" s="41"/>
    </row>
    <row r="15" spans="1:4" ht="8.25" customHeight="1" x14ac:dyDescent="0.25">
      <c r="A15" s="18"/>
      <c r="B15" s="18"/>
      <c r="C15" s="18"/>
      <c r="D15" s="18"/>
    </row>
    <row r="16" spans="1:4" ht="18.75" x14ac:dyDescent="0.3">
      <c r="A16" s="6" t="s">
        <v>276</v>
      </c>
      <c r="B16" s="6" t="s">
        <v>21</v>
      </c>
      <c r="C16" s="6" t="s">
        <v>22</v>
      </c>
      <c r="D16" s="6" t="s">
        <v>27</v>
      </c>
    </row>
    <row r="17" spans="1:4" ht="126" customHeight="1" x14ac:dyDescent="0.25">
      <c r="A17" s="30" t="s">
        <v>278</v>
      </c>
      <c r="B17" s="30" t="s">
        <v>281</v>
      </c>
      <c r="C17" s="30" t="s">
        <v>280</v>
      </c>
      <c r="D17" s="30" t="s">
        <v>279</v>
      </c>
    </row>
    <row r="18" spans="1:4" ht="119.25" customHeight="1" x14ac:dyDescent="0.25">
      <c r="A18" s="30" t="s">
        <v>282</v>
      </c>
      <c r="B18" s="30" t="s">
        <v>283</v>
      </c>
      <c r="C18" s="30"/>
      <c r="D18" s="30" t="s">
        <v>279</v>
      </c>
    </row>
    <row r="19" spans="1:4" ht="149.25" customHeight="1" x14ac:dyDescent="0.25">
      <c r="A19" s="30" t="s">
        <v>373</v>
      </c>
      <c r="B19" s="30" t="s">
        <v>284</v>
      </c>
      <c r="C19" s="30" t="s">
        <v>303</v>
      </c>
      <c r="D19" s="45" t="s">
        <v>302</v>
      </c>
    </row>
    <row r="20" spans="1:4" ht="261" customHeight="1" x14ac:dyDescent="0.25">
      <c r="A20" s="30" t="s">
        <v>374</v>
      </c>
      <c r="B20" s="30" t="s">
        <v>24</v>
      </c>
      <c r="C20" s="30" t="s">
        <v>25</v>
      </c>
      <c r="D20" s="45" t="s">
        <v>26</v>
      </c>
    </row>
  </sheetData>
  <hyperlinks>
    <hyperlink ref="D20"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0"/>
  <sheetViews>
    <sheetView workbookViewId="0">
      <selection activeCell="B19" sqref="B19"/>
    </sheetView>
  </sheetViews>
  <sheetFormatPr defaultRowHeight="15" x14ac:dyDescent="0.25"/>
  <cols>
    <col min="1" max="1" width="48.42578125" customWidth="1"/>
    <col min="2" max="2" width="48.5703125" customWidth="1"/>
    <col min="3" max="3" width="29.42578125" customWidth="1"/>
    <col min="4" max="4" width="130.85546875" customWidth="1"/>
  </cols>
  <sheetData>
    <row r="1" spans="1:4" ht="23.25" x14ac:dyDescent="0.35">
      <c r="A1" s="28" t="s">
        <v>320</v>
      </c>
      <c r="B1" s="18"/>
      <c r="C1" s="18"/>
      <c r="D1" s="18"/>
    </row>
    <row r="2" spans="1:4" ht="10.5" customHeight="1" x14ac:dyDescent="0.35">
      <c r="A2" s="28"/>
      <c r="B2" s="18"/>
      <c r="C2" s="18"/>
      <c r="D2" s="18"/>
    </row>
    <row r="3" spans="1:4" ht="23.25" customHeight="1" x14ac:dyDescent="0.25">
      <c r="A3" s="131" t="s">
        <v>336</v>
      </c>
      <c r="B3" s="131"/>
      <c r="C3" s="131"/>
      <c r="D3" s="131"/>
    </row>
    <row r="4" spans="1:4" ht="18.75" x14ac:dyDescent="0.3">
      <c r="A4" s="9" t="s">
        <v>158</v>
      </c>
      <c r="B4" s="9" t="s">
        <v>160</v>
      </c>
      <c r="C4" s="9" t="s">
        <v>161</v>
      </c>
      <c r="D4" s="9" t="s">
        <v>27</v>
      </c>
    </row>
    <row r="5" spans="1:4" s="2" customFormat="1" ht="17.25" customHeight="1" x14ac:dyDescent="0.25">
      <c r="A5" s="33" t="s">
        <v>223</v>
      </c>
      <c r="B5" s="34"/>
      <c r="C5" s="35"/>
      <c r="D5" s="22"/>
    </row>
    <row r="6" spans="1:4" s="2" customFormat="1" ht="17.25" customHeight="1" x14ac:dyDescent="0.25">
      <c r="A6" s="22" t="s">
        <v>338</v>
      </c>
      <c r="B6" s="34"/>
      <c r="C6" s="34">
        <v>640000</v>
      </c>
      <c r="D6" s="19" t="s">
        <v>333</v>
      </c>
    </row>
    <row r="7" spans="1:4" s="2" customFormat="1" ht="17.25" customHeight="1" x14ac:dyDescent="0.25">
      <c r="A7" s="22" t="s">
        <v>323</v>
      </c>
      <c r="B7" s="22"/>
      <c r="C7" s="36">
        <v>0.17</v>
      </c>
      <c r="D7" s="19" t="s">
        <v>325</v>
      </c>
    </row>
    <row r="8" spans="1:4" s="2" customFormat="1" ht="17.25" customHeight="1" x14ac:dyDescent="0.25">
      <c r="A8" s="22" t="s">
        <v>375</v>
      </c>
      <c r="B8" s="22"/>
      <c r="C8" s="34">
        <f>+C6/C7</f>
        <v>3764705.8823529407</v>
      </c>
      <c r="D8" s="19"/>
    </row>
    <row r="9" spans="1:4" s="2" customFormat="1" ht="17.25" customHeight="1" x14ac:dyDescent="0.25">
      <c r="A9" s="22" t="s">
        <v>330</v>
      </c>
      <c r="B9" s="34"/>
      <c r="C9" s="34">
        <v>40</v>
      </c>
      <c r="D9" s="19" t="s">
        <v>325</v>
      </c>
    </row>
    <row r="10" spans="1:4" s="2" customFormat="1" ht="17.25" customHeight="1" x14ac:dyDescent="0.25">
      <c r="A10" s="33" t="s">
        <v>322</v>
      </c>
      <c r="B10" s="37"/>
      <c r="C10" s="32">
        <f>+C8/C9</f>
        <v>94117.647058823524</v>
      </c>
      <c r="D10" s="22"/>
    </row>
    <row r="11" spans="1:4" s="2" customFormat="1" ht="17.25" customHeight="1" x14ac:dyDescent="0.25">
      <c r="A11" s="22" t="s">
        <v>324</v>
      </c>
      <c r="B11" s="34"/>
      <c r="C11" s="34">
        <v>740000</v>
      </c>
      <c r="D11" s="19"/>
    </row>
    <row r="12" spans="1:4" s="2" customFormat="1" ht="17.25" customHeight="1" x14ac:dyDescent="0.25">
      <c r="A12" s="22" t="s">
        <v>334</v>
      </c>
      <c r="B12" s="34"/>
      <c r="C12" s="38">
        <f>+C10/C11</f>
        <v>0.12718600953895071</v>
      </c>
      <c r="D12" s="19" t="s">
        <v>335</v>
      </c>
    </row>
    <row r="13" spans="1:4" s="2" customFormat="1" ht="17.25" customHeight="1" x14ac:dyDescent="0.25">
      <c r="A13" s="22"/>
      <c r="B13" s="34"/>
      <c r="C13" s="38"/>
      <c r="D13" s="19"/>
    </row>
    <row r="14" spans="1:4" s="2" customFormat="1" ht="17.25" customHeight="1" x14ac:dyDescent="0.25">
      <c r="A14" s="22" t="s">
        <v>326</v>
      </c>
      <c r="B14" s="34"/>
      <c r="C14" s="39">
        <v>0.2</v>
      </c>
      <c r="D14" s="19" t="s">
        <v>328</v>
      </c>
    </row>
    <row r="15" spans="1:4" s="2" customFormat="1" ht="17.25" customHeight="1" x14ac:dyDescent="0.25">
      <c r="A15" s="22" t="s">
        <v>327</v>
      </c>
      <c r="B15" s="34"/>
      <c r="C15" s="34">
        <v>5</v>
      </c>
      <c r="D15" s="19" t="s">
        <v>328</v>
      </c>
    </row>
    <row r="16" spans="1:4" s="2" customFormat="1" ht="17.25" customHeight="1" x14ac:dyDescent="0.25">
      <c r="A16" s="22" t="s">
        <v>329</v>
      </c>
      <c r="B16" s="34"/>
      <c r="C16" s="34">
        <f>+ROUND(C8*0.555555,-5)</f>
        <v>2100000</v>
      </c>
      <c r="D16" s="19"/>
    </row>
    <row r="17" spans="1:4" s="2" customFormat="1" ht="17.25" customHeight="1" x14ac:dyDescent="0.25">
      <c r="A17" s="22" t="s">
        <v>331</v>
      </c>
      <c r="B17" s="34"/>
      <c r="C17" s="34">
        <f>+C8-C16</f>
        <v>1664705.8823529407</v>
      </c>
      <c r="D17" s="19"/>
    </row>
    <row r="18" spans="1:4" s="2" customFormat="1" ht="17.25" customHeight="1" x14ac:dyDescent="0.25">
      <c r="A18" s="22" t="s">
        <v>332</v>
      </c>
      <c r="B18" s="34"/>
      <c r="C18" s="40">
        <f>+C16/C15/C9</f>
        <v>10500</v>
      </c>
      <c r="D18" s="22"/>
    </row>
    <row r="19" spans="1:4" s="2" customFormat="1" ht="36" customHeight="1" x14ac:dyDescent="0.25">
      <c r="A19" s="31" t="s">
        <v>337</v>
      </c>
      <c r="B19" s="32"/>
      <c r="C19" s="32">
        <f>+C18/C14</f>
        <v>52500</v>
      </c>
      <c r="D19" s="22"/>
    </row>
    <row r="20" spans="1:4" ht="8.25" customHeight="1" x14ac:dyDescent="0.25"/>
  </sheetData>
  <mergeCells count="1">
    <mergeCell ref="A3: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3"/>
  <sheetViews>
    <sheetView workbookViewId="0">
      <selection activeCell="A17" sqref="A17"/>
    </sheetView>
  </sheetViews>
  <sheetFormatPr defaultRowHeight="15" x14ac:dyDescent="0.25"/>
  <cols>
    <col min="1" max="1" width="48.42578125" customWidth="1"/>
    <col min="2" max="2" width="48.5703125" customWidth="1"/>
    <col min="3" max="3" width="29.42578125" customWidth="1"/>
    <col min="4" max="4" width="37" customWidth="1"/>
  </cols>
  <sheetData>
    <row r="1" spans="1:4" ht="23.25" x14ac:dyDescent="0.35">
      <c r="A1" s="28" t="s">
        <v>286</v>
      </c>
      <c r="B1" s="18"/>
      <c r="C1" s="18"/>
      <c r="D1" s="18"/>
    </row>
    <row r="2" spans="1:4" ht="10.5" customHeight="1" x14ac:dyDescent="0.35">
      <c r="A2" s="28"/>
      <c r="B2" s="18"/>
      <c r="C2" s="18"/>
      <c r="D2" s="18"/>
    </row>
    <row r="3" spans="1:4" ht="23.25" customHeight="1" x14ac:dyDescent="0.25">
      <c r="A3" s="57" t="s">
        <v>287</v>
      </c>
      <c r="B3" s="56"/>
      <c r="C3" s="56"/>
      <c r="D3" s="41"/>
    </row>
    <row r="4" spans="1:4" x14ac:dyDescent="0.25">
      <c r="A4" s="18"/>
      <c r="B4" s="18"/>
      <c r="C4" s="18"/>
      <c r="D4" s="18"/>
    </row>
    <row r="5" spans="1:4" ht="18.75" x14ac:dyDescent="0.3">
      <c r="A5" s="9" t="s">
        <v>158</v>
      </c>
      <c r="B5" s="9" t="s">
        <v>160</v>
      </c>
      <c r="C5" s="9" t="s">
        <v>161</v>
      </c>
      <c r="D5" s="9" t="s">
        <v>27</v>
      </c>
    </row>
    <row r="6" spans="1:4" s="2" customFormat="1" ht="17.25" customHeight="1" x14ac:dyDescent="0.25">
      <c r="A6" s="46" t="s">
        <v>5</v>
      </c>
      <c r="B6" s="49"/>
      <c r="C6" s="52"/>
      <c r="D6" s="41"/>
    </row>
    <row r="7" spans="1:4" s="2" customFormat="1" ht="17.25" customHeight="1" x14ac:dyDescent="0.25">
      <c r="A7" s="41" t="s">
        <v>304</v>
      </c>
      <c r="B7" s="49"/>
      <c r="C7" s="49"/>
      <c r="D7" s="30"/>
    </row>
    <row r="8" spans="1:4" s="2" customFormat="1" ht="17.25" customHeight="1" x14ac:dyDescent="0.25">
      <c r="A8" s="41" t="s">
        <v>305</v>
      </c>
      <c r="B8" s="49"/>
      <c r="C8" s="52"/>
      <c r="D8" s="41"/>
    </row>
    <row r="9" spans="1:4" s="2" customFormat="1" ht="17.25" customHeight="1" x14ac:dyDescent="0.25">
      <c r="A9" s="46" t="s">
        <v>298</v>
      </c>
      <c r="B9" s="50">
        <v>10000</v>
      </c>
      <c r="C9" s="48"/>
      <c r="D9" s="41"/>
    </row>
    <row r="10" spans="1:4" s="2" customFormat="1" ht="17.25" customHeight="1" x14ac:dyDescent="0.25">
      <c r="A10" s="41"/>
      <c r="B10" s="49"/>
      <c r="C10" s="52"/>
      <c r="D10" s="41"/>
    </row>
    <row r="11" spans="1:4" s="2" customFormat="1" ht="17.25" customHeight="1" x14ac:dyDescent="0.25">
      <c r="A11" s="46" t="s">
        <v>159</v>
      </c>
      <c r="B11" s="49"/>
      <c r="C11" s="49"/>
      <c r="D11" s="41"/>
    </row>
    <row r="12" spans="1:4" s="2" customFormat="1" ht="17.25" customHeight="1" x14ac:dyDescent="0.25">
      <c r="A12" s="41" t="s">
        <v>304</v>
      </c>
      <c r="B12" s="49"/>
      <c r="C12" s="49">
        <v>59805</v>
      </c>
      <c r="D12" s="30" t="s">
        <v>201</v>
      </c>
    </row>
    <row r="13" spans="1:4" s="2" customFormat="1" ht="17.25" customHeight="1" x14ac:dyDescent="0.25">
      <c r="A13" s="41" t="s">
        <v>305</v>
      </c>
      <c r="B13" s="49"/>
      <c r="C13" s="58" t="s">
        <v>294</v>
      </c>
      <c r="D13" s="30"/>
    </row>
    <row r="14" spans="1:4" s="2" customFormat="1" ht="17.25" customHeight="1" x14ac:dyDescent="0.25">
      <c r="A14" s="46" t="s">
        <v>301</v>
      </c>
      <c r="B14" s="48">
        <v>90000</v>
      </c>
      <c r="C14" s="48">
        <v>74000</v>
      </c>
      <c r="D14" s="41"/>
    </row>
    <row r="15" spans="1:4" s="2" customFormat="1" ht="17.25" customHeight="1" x14ac:dyDescent="0.25">
      <c r="A15" s="46"/>
      <c r="B15" s="48"/>
      <c r="C15" s="48"/>
      <c r="D15" s="41"/>
    </row>
    <row r="16" spans="1:4" ht="18.75" x14ac:dyDescent="0.3">
      <c r="A16" s="9" t="s">
        <v>20</v>
      </c>
      <c r="B16" s="9" t="s">
        <v>21</v>
      </c>
      <c r="C16" s="9" t="s">
        <v>22</v>
      </c>
      <c r="D16" s="9" t="s">
        <v>27</v>
      </c>
    </row>
    <row r="17" spans="1:4" ht="165" x14ac:dyDescent="0.25">
      <c r="A17" s="30" t="s">
        <v>285</v>
      </c>
      <c r="B17" s="30" t="s">
        <v>289</v>
      </c>
      <c r="C17" s="30" t="s">
        <v>288</v>
      </c>
      <c r="D17" s="30" t="s">
        <v>279</v>
      </c>
    </row>
    <row r="18" spans="1:4" x14ac:dyDescent="0.25">
      <c r="A18" s="18"/>
      <c r="B18" s="18"/>
      <c r="C18" s="18"/>
      <c r="D18" s="18"/>
    </row>
    <row r="19" spans="1:4" x14ac:dyDescent="0.25">
      <c r="A19" s="18"/>
      <c r="B19" s="18"/>
      <c r="C19" s="18"/>
      <c r="D19" s="18"/>
    </row>
    <row r="20" spans="1:4" x14ac:dyDescent="0.25">
      <c r="A20" s="18"/>
      <c r="B20" s="18"/>
      <c r="C20" s="18"/>
      <c r="D20" s="18"/>
    </row>
    <row r="21" spans="1:4" x14ac:dyDescent="0.25">
      <c r="A21" s="18"/>
      <c r="B21" s="18"/>
      <c r="C21" s="18"/>
      <c r="D21" s="18"/>
    </row>
    <row r="22" spans="1:4" x14ac:dyDescent="0.25">
      <c r="A22" s="18"/>
      <c r="B22" s="18"/>
      <c r="C22" s="18"/>
      <c r="D22" s="18"/>
    </row>
    <row r="23" spans="1:4" x14ac:dyDescent="0.25">
      <c r="A23" s="18"/>
      <c r="B23" s="18"/>
      <c r="C23" s="18"/>
      <c r="D23" s="1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7"/>
  <sheetViews>
    <sheetView workbookViewId="0">
      <selection activeCell="A9" sqref="A9"/>
    </sheetView>
  </sheetViews>
  <sheetFormatPr defaultRowHeight="15" x14ac:dyDescent="0.25"/>
  <cols>
    <col min="1" max="1" width="43.5703125" customWidth="1"/>
    <col min="2" max="2" width="30.7109375" customWidth="1"/>
    <col min="3" max="3" width="29.42578125" customWidth="1"/>
    <col min="4" max="4" width="37" customWidth="1"/>
    <col min="11" max="11" width="15.28515625" bestFit="1" customWidth="1"/>
  </cols>
  <sheetData>
    <row r="1" spans="1:11" ht="23.25" x14ac:dyDescent="0.35">
      <c r="A1" s="28" t="s">
        <v>243</v>
      </c>
      <c r="B1" s="18"/>
      <c r="C1" s="18"/>
      <c r="D1" s="18"/>
    </row>
    <row r="2" spans="1:11" ht="10.5" customHeight="1" x14ac:dyDescent="0.35">
      <c r="A2" s="28"/>
      <c r="B2" s="18"/>
      <c r="C2" s="18"/>
      <c r="D2" s="18"/>
    </row>
    <row r="3" spans="1:11" ht="85.5" customHeight="1" x14ac:dyDescent="0.25">
      <c r="A3" s="128" t="s">
        <v>275</v>
      </c>
      <c r="B3" s="128"/>
      <c r="C3" s="128"/>
      <c r="D3" s="128"/>
    </row>
    <row r="4" spans="1:11" ht="18.75" x14ac:dyDescent="0.3">
      <c r="A4" s="9" t="s">
        <v>158</v>
      </c>
      <c r="B4" s="9" t="s">
        <v>160</v>
      </c>
      <c r="C4" s="9" t="s">
        <v>161</v>
      </c>
      <c r="D4" s="9" t="s">
        <v>27</v>
      </c>
    </row>
    <row r="5" spans="1:11" s="2" customFormat="1" ht="17.25" customHeight="1" x14ac:dyDescent="0.25">
      <c r="A5" s="46" t="s">
        <v>241</v>
      </c>
      <c r="B5" s="48" t="s">
        <v>240</v>
      </c>
      <c r="C5" s="48" t="s">
        <v>240</v>
      </c>
      <c r="D5" s="45"/>
    </row>
    <row r="6" spans="1:11" s="2" customFormat="1" ht="15.75" customHeight="1" x14ac:dyDescent="0.25">
      <c r="A6" s="46" t="s">
        <v>159</v>
      </c>
      <c r="B6" s="48" t="s">
        <v>240</v>
      </c>
      <c r="C6" s="48" t="s">
        <v>240</v>
      </c>
      <c r="D6" s="45"/>
    </row>
    <row r="7" spans="1:11" x14ac:dyDescent="0.25">
      <c r="A7" s="18"/>
      <c r="B7" s="18"/>
      <c r="C7" s="18"/>
      <c r="D7" s="18"/>
    </row>
    <row r="8" spans="1:11" ht="18.75" x14ac:dyDescent="0.3">
      <c r="A8" s="9" t="s">
        <v>20</v>
      </c>
      <c r="B8" s="9" t="s">
        <v>21</v>
      </c>
      <c r="C8" s="9" t="s">
        <v>22</v>
      </c>
      <c r="D8" s="9" t="s">
        <v>27</v>
      </c>
    </row>
    <row r="9" spans="1:11" ht="294" customHeight="1" x14ac:dyDescent="0.25">
      <c r="A9" s="59" t="s">
        <v>247</v>
      </c>
      <c r="B9" s="30" t="s">
        <v>246</v>
      </c>
      <c r="C9" s="30" t="s">
        <v>245</v>
      </c>
      <c r="D9" s="45" t="s">
        <v>244</v>
      </c>
      <c r="K9" s="12">
        <v>100000</v>
      </c>
    </row>
    <row r="10" spans="1:11" ht="136.5" customHeight="1" x14ac:dyDescent="0.25">
      <c r="A10" s="59" t="s">
        <v>248</v>
      </c>
      <c r="B10" s="30"/>
      <c r="C10" s="30" t="s">
        <v>245</v>
      </c>
      <c r="D10" s="30" t="s">
        <v>244</v>
      </c>
      <c r="K10" s="12">
        <v>120000000</v>
      </c>
    </row>
    <row r="11" spans="1:11" ht="63.75" customHeight="1" x14ac:dyDescent="0.25">
      <c r="A11" s="59" t="s">
        <v>256</v>
      </c>
      <c r="B11" s="18"/>
      <c r="C11" s="30" t="s">
        <v>216</v>
      </c>
      <c r="D11" s="30" t="s">
        <v>255</v>
      </c>
      <c r="K11" s="23">
        <f>+K9/K10</f>
        <v>8.3333333333333339E-4</v>
      </c>
    </row>
    <row r="12" spans="1:11" ht="124.5" customHeight="1" x14ac:dyDescent="0.25">
      <c r="A12" s="60" t="s">
        <v>257</v>
      </c>
      <c r="B12" s="18"/>
      <c r="C12" s="30" t="s">
        <v>274</v>
      </c>
      <c r="D12" s="30" t="s">
        <v>259</v>
      </c>
      <c r="K12">
        <v>500000</v>
      </c>
    </row>
    <row r="13" spans="1:11" ht="98.25" customHeight="1" x14ac:dyDescent="0.25">
      <c r="A13" s="60" t="s">
        <v>258</v>
      </c>
      <c r="B13" s="18"/>
      <c r="C13" s="30" t="s">
        <v>274</v>
      </c>
      <c r="D13" s="30" t="s">
        <v>260</v>
      </c>
      <c r="K13">
        <f>+K11*K12</f>
        <v>416.66666666666669</v>
      </c>
    </row>
    <row r="14" spans="1:11" x14ac:dyDescent="0.25">
      <c r="A14" s="59"/>
      <c r="B14" s="18"/>
      <c r="C14" s="18"/>
      <c r="D14" s="18"/>
    </row>
    <row r="15" spans="1:11" x14ac:dyDescent="0.25">
      <c r="A15" s="59"/>
      <c r="B15" s="18"/>
      <c r="C15" s="18"/>
      <c r="D15" s="18"/>
    </row>
    <row r="16" spans="1:11" x14ac:dyDescent="0.25">
      <c r="A16" s="59"/>
      <c r="B16" s="18"/>
      <c r="C16" s="18"/>
      <c r="D16" s="18"/>
    </row>
    <row r="17" spans="1:4" x14ac:dyDescent="0.25">
      <c r="A17" s="18"/>
      <c r="B17" s="18"/>
      <c r="C17" s="18"/>
      <c r="D17" s="18"/>
    </row>
  </sheetData>
  <mergeCells count="1">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54"/>
  <sheetViews>
    <sheetView workbookViewId="0">
      <selection activeCell="G38" sqref="G38"/>
    </sheetView>
  </sheetViews>
  <sheetFormatPr defaultRowHeight="15" x14ac:dyDescent="0.25"/>
  <cols>
    <col min="5" max="5" width="16.140625" customWidth="1"/>
    <col min="6" max="6" width="25.28515625" customWidth="1"/>
  </cols>
  <sheetData>
    <row r="1" spans="1:7" x14ac:dyDescent="0.25">
      <c r="A1" t="s">
        <v>59</v>
      </c>
    </row>
    <row r="3" spans="1:7" x14ac:dyDescent="0.25">
      <c r="B3" t="s">
        <v>60</v>
      </c>
      <c r="G3" t="s">
        <v>61</v>
      </c>
    </row>
    <row r="4" spans="1:7" x14ac:dyDescent="0.25">
      <c r="B4" t="s">
        <v>62</v>
      </c>
      <c r="G4" t="s">
        <v>63</v>
      </c>
    </row>
    <row r="5" spans="1:7" x14ac:dyDescent="0.25">
      <c r="B5" t="s">
        <v>64</v>
      </c>
      <c r="G5" t="s">
        <v>65</v>
      </c>
    </row>
    <row r="6" spans="1:7" x14ac:dyDescent="0.25">
      <c r="B6" t="s">
        <v>66</v>
      </c>
      <c r="G6" s="10" t="s">
        <v>67</v>
      </c>
    </row>
    <row r="7" spans="1:7" x14ac:dyDescent="0.25">
      <c r="B7" t="s">
        <v>68</v>
      </c>
      <c r="G7" s="10" t="s">
        <v>69</v>
      </c>
    </row>
    <row r="8" spans="1:7" x14ac:dyDescent="0.25">
      <c r="B8" t="s">
        <v>70</v>
      </c>
      <c r="G8" t="s">
        <v>71</v>
      </c>
    </row>
    <row r="9" spans="1:7" x14ac:dyDescent="0.25">
      <c r="B9" t="s">
        <v>72</v>
      </c>
      <c r="G9" t="s">
        <v>73</v>
      </c>
    </row>
    <row r="10" spans="1:7" x14ac:dyDescent="0.25">
      <c r="B10" t="s">
        <v>74</v>
      </c>
      <c r="G10" s="10" t="s">
        <v>75</v>
      </c>
    </row>
    <row r="11" spans="1:7" x14ac:dyDescent="0.25">
      <c r="B11" t="s">
        <v>76</v>
      </c>
      <c r="G11" t="s">
        <v>73</v>
      </c>
    </row>
    <row r="12" spans="1:7" x14ac:dyDescent="0.25">
      <c r="B12" t="s">
        <v>77</v>
      </c>
      <c r="G12" s="10" t="s">
        <v>78</v>
      </c>
    </row>
    <row r="13" spans="1:7" x14ac:dyDescent="0.25">
      <c r="B13" t="s">
        <v>79</v>
      </c>
      <c r="G13" t="s">
        <v>80</v>
      </c>
    </row>
    <row r="14" spans="1:7" x14ac:dyDescent="0.25">
      <c r="B14" t="s">
        <v>81</v>
      </c>
      <c r="G14" s="10" t="s">
        <v>82</v>
      </c>
    </row>
    <row r="15" spans="1:7" x14ac:dyDescent="0.25">
      <c r="B15" t="s">
        <v>83</v>
      </c>
      <c r="G15" t="s">
        <v>84</v>
      </c>
    </row>
    <row r="16" spans="1:7" x14ac:dyDescent="0.25">
      <c r="B16" t="s">
        <v>85</v>
      </c>
      <c r="G16" t="s">
        <v>86</v>
      </c>
    </row>
    <row r="17" spans="2:7" x14ac:dyDescent="0.25">
      <c r="B17" t="s">
        <v>87</v>
      </c>
      <c r="G17" t="s">
        <v>88</v>
      </c>
    </row>
    <row r="18" spans="2:7" x14ac:dyDescent="0.25">
      <c r="B18" t="s">
        <v>89</v>
      </c>
      <c r="G18" t="s">
        <v>90</v>
      </c>
    </row>
    <row r="19" spans="2:7" x14ac:dyDescent="0.25">
      <c r="B19" t="s">
        <v>91</v>
      </c>
      <c r="G19" s="10" t="s">
        <v>92</v>
      </c>
    </row>
    <row r="20" spans="2:7" x14ac:dyDescent="0.25">
      <c r="B20" t="s">
        <v>93</v>
      </c>
      <c r="G20" t="s">
        <v>94</v>
      </c>
    </row>
    <row r="21" spans="2:7" x14ac:dyDescent="0.25">
      <c r="B21" t="s">
        <v>95</v>
      </c>
      <c r="G21" s="10" t="s">
        <v>96</v>
      </c>
    </row>
    <row r="22" spans="2:7" x14ac:dyDescent="0.25">
      <c r="B22" t="s">
        <v>89</v>
      </c>
      <c r="G22" t="s">
        <v>97</v>
      </c>
    </row>
    <row r="23" spans="2:7" x14ac:dyDescent="0.25">
      <c r="B23" t="s">
        <v>98</v>
      </c>
      <c r="G23" t="s">
        <v>99</v>
      </c>
    </row>
    <row r="24" spans="2:7" x14ac:dyDescent="0.25">
      <c r="B24" t="s">
        <v>100</v>
      </c>
      <c r="G24" t="s">
        <v>101</v>
      </c>
    </row>
    <row r="25" spans="2:7" x14ac:dyDescent="0.25">
      <c r="B25" t="s">
        <v>102</v>
      </c>
      <c r="G25" s="10" t="s">
        <v>103</v>
      </c>
    </row>
    <row r="26" spans="2:7" x14ac:dyDescent="0.25">
      <c r="B26" t="s">
        <v>104</v>
      </c>
      <c r="G26" s="10" t="s">
        <v>105</v>
      </c>
    </row>
    <row r="27" spans="2:7" x14ac:dyDescent="0.25">
      <c r="B27" t="s">
        <v>106</v>
      </c>
      <c r="G27" t="s">
        <v>107</v>
      </c>
    </row>
    <row r="28" spans="2:7" x14ac:dyDescent="0.25">
      <c r="B28" t="s">
        <v>108</v>
      </c>
      <c r="G28" s="10" t="s">
        <v>109</v>
      </c>
    </row>
    <row r="29" spans="2:7" x14ac:dyDescent="0.25">
      <c r="B29" t="s">
        <v>110</v>
      </c>
      <c r="G29" t="s">
        <v>111</v>
      </c>
    </row>
    <row r="30" spans="2:7" x14ac:dyDescent="0.25">
      <c r="B30" t="s">
        <v>112</v>
      </c>
      <c r="G30" t="s">
        <v>113</v>
      </c>
    </row>
    <row r="31" spans="2:7" x14ac:dyDescent="0.25">
      <c r="B31" t="s">
        <v>114</v>
      </c>
      <c r="G31" t="s">
        <v>115</v>
      </c>
    </row>
    <row r="32" spans="2:7" x14ac:dyDescent="0.25">
      <c r="B32" t="s">
        <v>116</v>
      </c>
      <c r="G32" t="s">
        <v>117</v>
      </c>
    </row>
    <row r="33" spans="2:7" x14ac:dyDescent="0.25">
      <c r="B33" t="s">
        <v>118</v>
      </c>
      <c r="G33" t="s">
        <v>119</v>
      </c>
    </row>
    <row r="34" spans="2:7" x14ac:dyDescent="0.25">
      <c r="B34" t="s">
        <v>120</v>
      </c>
      <c r="G34" t="s">
        <v>121</v>
      </c>
    </row>
    <row r="35" spans="2:7" x14ac:dyDescent="0.25">
      <c r="B35" t="s">
        <v>122</v>
      </c>
      <c r="G35" s="10" t="s">
        <v>123</v>
      </c>
    </row>
    <row r="36" spans="2:7" x14ac:dyDescent="0.25">
      <c r="B36" t="s">
        <v>124</v>
      </c>
      <c r="G36" s="10" t="s">
        <v>125</v>
      </c>
    </row>
    <row r="37" spans="2:7" x14ac:dyDescent="0.25">
      <c r="B37" t="s">
        <v>126</v>
      </c>
      <c r="G37" t="s">
        <v>127</v>
      </c>
    </row>
    <row r="38" spans="2:7" x14ac:dyDescent="0.25">
      <c r="B38" t="s">
        <v>128</v>
      </c>
      <c r="G38" s="10" t="s">
        <v>129</v>
      </c>
    </row>
    <row r="39" spans="2:7" x14ac:dyDescent="0.25">
      <c r="B39" t="s">
        <v>130</v>
      </c>
      <c r="G39" s="10" t="s">
        <v>57</v>
      </c>
    </row>
    <row r="40" spans="2:7" x14ac:dyDescent="0.25">
      <c r="G40" s="10" t="s">
        <v>131</v>
      </c>
    </row>
    <row r="41" spans="2:7" x14ac:dyDescent="0.25">
      <c r="G41" s="10" t="s">
        <v>132</v>
      </c>
    </row>
    <row r="42" spans="2:7" x14ac:dyDescent="0.25">
      <c r="B42" t="s">
        <v>133</v>
      </c>
      <c r="G42" t="s">
        <v>134</v>
      </c>
    </row>
    <row r="43" spans="2:7" x14ac:dyDescent="0.25">
      <c r="B43" t="s">
        <v>135</v>
      </c>
      <c r="G43" t="s">
        <v>136</v>
      </c>
    </row>
    <row r="44" spans="2:7" x14ac:dyDescent="0.25">
      <c r="B44" t="s">
        <v>137</v>
      </c>
      <c r="G44" t="s">
        <v>138</v>
      </c>
    </row>
    <row r="45" spans="2:7" x14ac:dyDescent="0.25">
      <c r="B45" t="s">
        <v>139</v>
      </c>
      <c r="G45" t="s">
        <v>140</v>
      </c>
    </row>
    <row r="46" spans="2:7" x14ac:dyDescent="0.25">
      <c r="B46" t="s">
        <v>141</v>
      </c>
      <c r="G46" s="11" t="s">
        <v>142</v>
      </c>
    </row>
    <row r="47" spans="2:7" x14ac:dyDescent="0.25">
      <c r="B47" t="s">
        <v>143</v>
      </c>
      <c r="G47" s="17" t="s">
        <v>144</v>
      </c>
    </row>
    <row r="48" spans="2:7" x14ac:dyDescent="0.25">
      <c r="B48" t="s">
        <v>145</v>
      </c>
      <c r="G48" s="10" t="s">
        <v>146</v>
      </c>
    </row>
    <row r="49" spans="2:7" x14ac:dyDescent="0.25">
      <c r="B49" t="s">
        <v>147</v>
      </c>
      <c r="G49" t="s">
        <v>148</v>
      </c>
    </row>
    <row r="50" spans="2:7" x14ac:dyDescent="0.25">
      <c r="B50" t="s">
        <v>149</v>
      </c>
      <c r="G50" t="s">
        <v>150</v>
      </c>
    </row>
    <row r="51" spans="2:7" x14ac:dyDescent="0.25">
      <c r="B51" t="s">
        <v>151</v>
      </c>
      <c r="G51" t="s">
        <v>152</v>
      </c>
    </row>
    <row r="52" spans="2:7" x14ac:dyDescent="0.25">
      <c r="B52" t="s">
        <v>153</v>
      </c>
      <c r="G52" t="s">
        <v>154</v>
      </c>
    </row>
    <row r="53" spans="2:7" x14ac:dyDescent="0.25">
      <c r="B53" t="s">
        <v>220</v>
      </c>
      <c r="G53" t="s">
        <v>219</v>
      </c>
    </row>
    <row r="54" spans="2:7" x14ac:dyDescent="0.25">
      <c r="B54" t="s">
        <v>222</v>
      </c>
      <c r="G54" t="s">
        <v>221</v>
      </c>
    </row>
  </sheetData>
  <hyperlinks>
    <hyperlink ref="G6" r:id="rId1"/>
    <hyperlink ref="G14" r:id="rId2"/>
    <hyperlink ref="G10" r:id="rId3"/>
    <hyperlink ref="G7" r:id="rId4"/>
    <hyperlink ref="G12" r:id="rId5"/>
    <hyperlink ref="G21" r:id="rId6"/>
    <hyperlink ref="G19" r:id="rId7"/>
    <hyperlink ref="G25" r:id="rId8"/>
    <hyperlink ref="G36" r:id="rId9"/>
    <hyperlink ref="G39" r:id="rId10"/>
    <hyperlink ref="G40" r:id="rId11"/>
    <hyperlink ref="G35" r:id="rId12"/>
    <hyperlink ref="G26" r:id="rId13"/>
    <hyperlink ref="G41" r:id="rId14"/>
    <hyperlink ref="G47" r:id="rId15"/>
    <hyperlink ref="G48" r:id="rId16"/>
    <hyperlink ref="G28" r:id="rId17"/>
    <hyperlink ref="G38" r:id="rId18" location="gref"/>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2"/>
  <sheetViews>
    <sheetView workbookViewId="0">
      <selection activeCell="D1" sqref="D1"/>
    </sheetView>
  </sheetViews>
  <sheetFormatPr defaultRowHeight="15" x14ac:dyDescent="0.25"/>
  <cols>
    <col min="1" max="1" width="22.7109375" customWidth="1"/>
    <col min="2" max="2" width="29.140625" customWidth="1"/>
    <col min="3" max="3" width="59.85546875" customWidth="1"/>
  </cols>
  <sheetData>
    <row r="1" spans="1:4" ht="23.25" x14ac:dyDescent="0.35">
      <c r="A1" s="28" t="s">
        <v>13</v>
      </c>
      <c r="B1" s="18"/>
      <c r="C1" s="18"/>
      <c r="D1" s="18"/>
    </row>
    <row r="2" spans="1:4" x14ac:dyDescent="0.25">
      <c r="A2" s="18"/>
      <c r="B2" s="18"/>
      <c r="C2" s="18"/>
      <c r="D2" s="18"/>
    </row>
    <row r="3" spans="1:4" ht="63" customHeight="1" x14ac:dyDescent="0.25">
      <c r="A3" s="128" t="s">
        <v>318</v>
      </c>
      <c r="B3" s="128"/>
      <c r="C3" s="128"/>
      <c r="D3" s="18"/>
    </row>
    <row r="4" spans="1:4" x14ac:dyDescent="0.25">
      <c r="A4" s="18"/>
      <c r="B4" s="18"/>
      <c r="C4" s="18"/>
      <c r="D4" s="18"/>
    </row>
    <row r="5" spans="1:4" ht="18.75" x14ac:dyDescent="0.3">
      <c r="A5" s="9" t="s">
        <v>0</v>
      </c>
      <c r="B5" s="9" t="s">
        <v>1</v>
      </c>
      <c r="C5" s="9" t="s">
        <v>2</v>
      </c>
      <c r="D5" s="18"/>
    </row>
    <row r="6" spans="1:4" s="4" customFormat="1" ht="66.75" customHeight="1" x14ac:dyDescent="0.25">
      <c r="A6" s="30" t="s">
        <v>3</v>
      </c>
      <c r="B6" s="30" t="s">
        <v>4</v>
      </c>
      <c r="C6" s="30" t="s">
        <v>12</v>
      </c>
      <c r="D6" s="56"/>
    </row>
    <row r="7" spans="1:4" ht="66.75" customHeight="1" x14ac:dyDescent="0.25">
      <c r="A7" s="30" t="s">
        <v>5</v>
      </c>
      <c r="B7" s="30" t="s">
        <v>6</v>
      </c>
      <c r="C7" s="30" t="s">
        <v>8</v>
      </c>
      <c r="D7" s="18"/>
    </row>
    <row r="8" spans="1:4" ht="102" customHeight="1" x14ac:dyDescent="0.25">
      <c r="A8" s="30" t="s">
        <v>7</v>
      </c>
      <c r="B8" s="30" t="s">
        <v>11</v>
      </c>
      <c r="C8" s="30" t="s">
        <v>9</v>
      </c>
      <c r="D8" s="18"/>
    </row>
    <row r="9" spans="1:4" ht="89.25" customHeight="1" x14ac:dyDescent="0.25">
      <c r="A9" s="30" t="s">
        <v>10</v>
      </c>
      <c r="B9" s="30" t="s">
        <v>11</v>
      </c>
      <c r="C9" s="30" t="s">
        <v>319</v>
      </c>
      <c r="D9" s="18"/>
    </row>
    <row r="10" spans="1:4" x14ac:dyDescent="0.25">
      <c r="A10" s="18"/>
      <c r="B10" s="18"/>
      <c r="C10" s="18"/>
      <c r="D10" s="18"/>
    </row>
    <row r="11" spans="1:4" x14ac:dyDescent="0.25">
      <c r="A11" s="18"/>
      <c r="B11" s="18"/>
      <c r="C11" s="18"/>
      <c r="D11" s="18"/>
    </row>
    <row r="12" spans="1:4" x14ac:dyDescent="0.25">
      <c r="A12" s="18"/>
      <c r="B12" s="18"/>
      <c r="C12" s="18"/>
      <c r="D12" s="18"/>
    </row>
  </sheetData>
  <mergeCells count="1">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4"/>
  <sheetViews>
    <sheetView workbookViewId="0">
      <selection activeCell="D1" sqref="D1"/>
    </sheetView>
  </sheetViews>
  <sheetFormatPr defaultRowHeight="15" x14ac:dyDescent="0.25"/>
  <cols>
    <col min="1" max="1" width="38.5703125" customWidth="1"/>
    <col min="2" max="2" width="16" style="81" customWidth="1"/>
    <col min="3" max="3" width="12.85546875" style="80" customWidth="1"/>
  </cols>
  <sheetData>
    <row r="1" spans="1:4" ht="21" x14ac:dyDescent="0.35">
      <c r="A1" s="136" t="s">
        <v>427</v>
      </c>
      <c r="B1" s="43"/>
      <c r="C1" s="52"/>
      <c r="D1" s="18"/>
    </row>
    <row r="2" spans="1:4" x14ac:dyDescent="0.25">
      <c r="A2" s="18"/>
      <c r="B2" s="43"/>
      <c r="C2" s="52"/>
      <c r="D2" s="18"/>
    </row>
    <row r="3" spans="1:4" x14ac:dyDescent="0.25">
      <c r="A3" s="132" t="s">
        <v>385</v>
      </c>
      <c r="B3" s="133">
        <v>2017</v>
      </c>
      <c r="C3" s="52"/>
      <c r="D3" s="18"/>
    </row>
    <row r="4" spans="1:4" x14ac:dyDescent="0.25">
      <c r="A4" s="18" t="s">
        <v>5</v>
      </c>
      <c r="B4" s="43">
        <v>127938</v>
      </c>
      <c r="C4" s="47">
        <f t="shared" ref="C4:C9" si="0">+B4/$B$9</f>
        <v>0.42096500348780586</v>
      </c>
      <c r="D4" s="18"/>
    </row>
    <row r="5" spans="1:4" x14ac:dyDescent="0.25">
      <c r="A5" s="18" t="s">
        <v>3</v>
      </c>
      <c r="B5" s="43">
        <v>65871</v>
      </c>
      <c r="C5" s="47">
        <f t="shared" si="0"/>
        <v>0.21674080996064701</v>
      </c>
      <c r="D5" s="18"/>
    </row>
    <row r="6" spans="1:4" x14ac:dyDescent="0.25">
      <c r="A6" s="18" t="s">
        <v>382</v>
      </c>
      <c r="B6" s="43">
        <v>47260</v>
      </c>
      <c r="C6" s="47">
        <f t="shared" si="0"/>
        <v>0.15550349438660682</v>
      </c>
      <c r="D6" s="18"/>
    </row>
    <row r="7" spans="1:4" x14ac:dyDescent="0.25">
      <c r="A7" s="18" t="s">
        <v>383</v>
      </c>
      <c r="B7" s="43">
        <v>49760</v>
      </c>
      <c r="C7" s="47">
        <f t="shared" si="0"/>
        <v>0.16372945155898341</v>
      </c>
      <c r="D7" s="18"/>
    </row>
    <row r="8" spans="1:4" x14ac:dyDescent="0.25">
      <c r="A8" s="18" t="s">
        <v>384</v>
      </c>
      <c r="B8" s="43">
        <f>+B9-SUM(B4:B7)</f>
        <v>13087</v>
      </c>
      <c r="C8" s="47">
        <f t="shared" si="0"/>
        <v>4.306124060595691E-2</v>
      </c>
      <c r="D8" s="18"/>
    </row>
    <row r="9" spans="1:4" x14ac:dyDescent="0.25">
      <c r="A9" s="18" t="s">
        <v>231</v>
      </c>
      <c r="B9" s="43">
        <v>303916</v>
      </c>
      <c r="C9" s="47">
        <f t="shared" si="0"/>
        <v>1</v>
      </c>
      <c r="D9" s="18"/>
    </row>
    <row r="10" spans="1:4" x14ac:dyDescent="0.25">
      <c r="A10" s="18"/>
      <c r="B10" s="43"/>
      <c r="C10" s="52"/>
      <c r="D10" s="18"/>
    </row>
    <row r="11" spans="1:4" x14ac:dyDescent="0.25">
      <c r="A11" s="134" t="s">
        <v>391</v>
      </c>
      <c r="B11" s="48" t="s">
        <v>390</v>
      </c>
      <c r="C11" s="135" t="s">
        <v>389</v>
      </c>
      <c r="D11" s="18"/>
    </row>
    <row r="12" spans="1:4" x14ac:dyDescent="0.25">
      <c r="A12" s="18" t="s">
        <v>386</v>
      </c>
      <c r="B12" s="43">
        <f>+C12*$B$15</f>
        <v>161725.81391818952</v>
      </c>
      <c r="C12" s="51">
        <f>+C4</f>
        <v>0.42096500348780586</v>
      </c>
      <c r="D12" s="18"/>
    </row>
    <row r="13" spans="1:4" x14ac:dyDescent="0.25">
      <c r="A13" s="18" t="s">
        <v>387</v>
      </c>
      <c r="B13" s="43">
        <f t="shared" ref="B13:B14" si="1">+C13*$B$15</f>
        <v>205909.73405046045</v>
      </c>
      <c r="C13" s="51">
        <f>SUM(C5:C7)</f>
        <v>0.5359737559062373</v>
      </c>
      <c r="D13" s="18"/>
    </row>
    <row r="14" spans="1:4" x14ac:dyDescent="0.25">
      <c r="A14" s="18" t="s">
        <v>388</v>
      </c>
      <c r="B14" s="43">
        <f t="shared" si="1"/>
        <v>16543.214109547953</v>
      </c>
      <c r="C14" s="51">
        <f>+C8</f>
        <v>4.306124060595691E-2</v>
      </c>
      <c r="D14" s="18"/>
    </row>
    <row r="15" spans="1:4" x14ac:dyDescent="0.25">
      <c r="A15" s="18" t="s">
        <v>231</v>
      </c>
      <c r="B15" s="43">
        <f>+[1]Apprehensions!$N$11</f>
        <v>384178.76207819791</v>
      </c>
      <c r="C15" s="51">
        <f>SUM(C12:C14)</f>
        <v>1</v>
      </c>
      <c r="D15" s="18"/>
    </row>
    <row r="16" spans="1:4" x14ac:dyDescent="0.25">
      <c r="A16" s="18"/>
      <c r="B16" s="43"/>
      <c r="C16" s="52"/>
      <c r="D16" s="18"/>
    </row>
    <row r="17" spans="1:4" x14ac:dyDescent="0.25">
      <c r="A17" s="18" t="s">
        <v>392</v>
      </c>
      <c r="B17" s="47">
        <v>0.54</v>
      </c>
      <c r="C17" s="52"/>
      <c r="D17" s="18"/>
    </row>
    <row r="18" spans="1:4" x14ac:dyDescent="0.25">
      <c r="A18" s="18"/>
      <c r="B18" s="43"/>
      <c r="C18" s="52"/>
      <c r="D18" s="18"/>
    </row>
    <row r="19" spans="1:4" x14ac:dyDescent="0.25">
      <c r="A19" s="134" t="s">
        <v>393</v>
      </c>
      <c r="B19" s="48" t="s">
        <v>390</v>
      </c>
      <c r="C19" s="135" t="s">
        <v>389</v>
      </c>
      <c r="D19" s="18"/>
    </row>
    <row r="20" spans="1:4" x14ac:dyDescent="0.25">
      <c r="A20" s="18" t="s">
        <v>386</v>
      </c>
      <c r="B20" s="43">
        <f>+B12/$B$17</f>
        <v>299492.24799664726</v>
      </c>
      <c r="C20" s="51">
        <f>+B20/$B$23</f>
        <v>0.42096500348780591</v>
      </c>
      <c r="D20" s="18"/>
    </row>
    <row r="21" spans="1:4" x14ac:dyDescent="0.25">
      <c r="A21" s="18" t="s">
        <v>387</v>
      </c>
      <c r="B21" s="43">
        <f t="shared" ref="B21:B23" si="2">+B13/$B$17</f>
        <v>381314.32231566746</v>
      </c>
      <c r="C21" s="51">
        <f t="shared" ref="C21:C23" si="3">+B21/$B$23</f>
        <v>0.5359737559062373</v>
      </c>
      <c r="D21" s="18"/>
    </row>
    <row r="22" spans="1:4" x14ac:dyDescent="0.25">
      <c r="A22" s="18" t="s">
        <v>388</v>
      </c>
      <c r="B22" s="43">
        <f t="shared" si="2"/>
        <v>30635.581684348057</v>
      </c>
      <c r="C22" s="51">
        <f t="shared" si="3"/>
        <v>4.3061240605956903E-2</v>
      </c>
      <c r="D22" s="18"/>
    </row>
    <row r="23" spans="1:4" x14ac:dyDescent="0.25">
      <c r="A23" s="18" t="s">
        <v>231</v>
      </c>
      <c r="B23" s="43">
        <f t="shared" si="2"/>
        <v>711442.15199666272</v>
      </c>
      <c r="C23" s="51">
        <f t="shared" si="3"/>
        <v>1</v>
      </c>
      <c r="D23" s="18"/>
    </row>
    <row r="24" spans="1:4" x14ac:dyDescent="0.25">
      <c r="A24" s="18"/>
      <c r="B24" s="43"/>
      <c r="C24" s="52"/>
      <c r="D24" s="18"/>
    </row>
    <row r="25" spans="1:4" x14ac:dyDescent="0.25">
      <c r="A25" s="134" t="s">
        <v>394</v>
      </c>
      <c r="B25" s="48" t="s">
        <v>390</v>
      </c>
      <c r="C25" s="135" t="s">
        <v>389</v>
      </c>
      <c r="D25" s="18"/>
    </row>
    <row r="26" spans="1:4" x14ac:dyDescent="0.25">
      <c r="A26" s="18" t="s">
        <v>386</v>
      </c>
      <c r="B26" s="43"/>
      <c r="C26" s="51"/>
      <c r="D26" s="18"/>
    </row>
    <row r="27" spans="1:4" x14ac:dyDescent="0.25">
      <c r="A27" s="18" t="s">
        <v>387</v>
      </c>
      <c r="B27" s="43"/>
      <c r="C27" s="51"/>
      <c r="D27" s="18"/>
    </row>
    <row r="28" spans="1:4" x14ac:dyDescent="0.25">
      <c r="A28" s="18" t="s">
        <v>388</v>
      </c>
      <c r="B28" s="43"/>
      <c r="C28" s="51"/>
      <c r="D28" s="18"/>
    </row>
    <row r="29" spans="1:4" x14ac:dyDescent="0.25">
      <c r="A29" s="18" t="s">
        <v>231</v>
      </c>
      <c r="B29" s="43">
        <f>+[1]Inadmissibles!$O$11</f>
        <v>152632.76307916673</v>
      </c>
      <c r="C29" s="51">
        <f>+B29/$B$29</f>
        <v>1</v>
      </c>
      <c r="D29" s="18"/>
    </row>
    <row r="30" spans="1:4" x14ac:dyDescent="0.25">
      <c r="A30" s="18"/>
      <c r="B30" s="43"/>
      <c r="C30" s="52"/>
      <c r="D30" s="18"/>
    </row>
    <row r="31" spans="1:4" x14ac:dyDescent="0.25">
      <c r="A31" s="132" t="s">
        <v>397</v>
      </c>
      <c r="B31" s="133">
        <v>2017</v>
      </c>
      <c r="C31" s="52"/>
      <c r="D31" s="18"/>
    </row>
    <row r="32" spans="1:4" x14ac:dyDescent="0.25">
      <c r="A32" s="18" t="s">
        <v>395</v>
      </c>
      <c r="B32" s="43">
        <v>80857</v>
      </c>
      <c r="C32" s="47">
        <f>+B32/$B$34</f>
        <v>0.26605048763474121</v>
      </c>
      <c r="D32" s="18"/>
    </row>
    <row r="33" spans="1:4" x14ac:dyDescent="0.25">
      <c r="A33" s="18" t="s">
        <v>396</v>
      </c>
      <c r="B33" s="43">
        <v>223059</v>
      </c>
      <c r="C33" s="47">
        <f t="shared" ref="C33:C34" si="4">+B33/$B$34</f>
        <v>0.73394951236525885</v>
      </c>
      <c r="D33" s="18"/>
    </row>
    <row r="34" spans="1:4" x14ac:dyDescent="0.25">
      <c r="A34" s="18" t="s">
        <v>231</v>
      </c>
      <c r="B34" s="43">
        <f>SUM(B32:B33)</f>
        <v>303916</v>
      </c>
      <c r="C34" s="47">
        <f t="shared" si="4"/>
        <v>1</v>
      </c>
      <c r="D34" s="18"/>
    </row>
    <row r="35" spans="1:4" x14ac:dyDescent="0.25">
      <c r="A35" s="18"/>
      <c r="B35" s="43"/>
      <c r="C35" s="47"/>
      <c r="D35" s="18"/>
    </row>
    <row r="36" spans="1:4" x14ac:dyDescent="0.25">
      <c r="A36" s="134" t="s">
        <v>398</v>
      </c>
      <c r="B36" s="48" t="s">
        <v>390</v>
      </c>
      <c r="C36" s="135" t="s">
        <v>389</v>
      </c>
      <c r="D36" s="18"/>
    </row>
    <row r="37" spans="1:4" x14ac:dyDescent="0.25">
      <c r="A37" s="18" t="s">
        <v>395</v>
      </c>
      <c r="B37" s="43">
        <f>+$B$23*C37</f>
        <v>189279.53146262179</v>
      </c>
      <c r="C37" s="47">
        <f>+C32</f>
        <v>0.26605048763474121</v>
      </c>
      <c r="D37" s="18"/>
    </row>
    <row r="38" spans="1:4" x14ac:dyDescent="0.25">
      <c r="A38" s="18" t="s">
        <v>396</v>
      </c>
      <c r="B38" s="43">
        <f t="shared" ref="B38" si="5">+$B$23*C38</f>
        <v>522162.62053404097</v>
      </c>
      <c r="C38" s="47">
        <f>+C33</f>
        <v>0.73394951236525885</v>
      </c>
      <c r="D38" s="18"/>
    </row>
    <row r="39" spans="1:4" x14ac:dyDescent="0.25">
      <c r="A39" s="18" t="s">
        <v>231</v>
      </c>
      <c r="B39" s="43">
        <f>SUM(B37:B38)</f>
        <v>711442.15199666272</v>
      </c>
      <c r="C39" s="47">
        <f t="shared" ref="C39" si="6">+B39/$B$39</f>
        <v>1</v>
      </c>
      <c r="D39" s="18"/>
    </row>
    <row r="40" spans="1:4" x14ac:dyDescent="0.25">
      <c r="A40" s="18"/>
      <c r="B40" s="43"/>
      <c r="C40" s="52"/>
      <c r="D40" s="18"/>
    </row>
    <row r="41" spans="1:4" x14ac:dyDescent="0.25">
      <c r="A41" s="132" t="s">
        <v>433</v>
      </c>
      <c r="B41" s="43">
        <v>74255</v>
      </c>
      <c r="C41" s="52"/>
      <c r="D41" s="18"/>
    </row>
    <row r="42" spans="1:4" x14ac:dyDescent="0.25">
      <c r="A42" s="18"/>
      <c r="B42" s="43"/>
      <c r="C42" s="52"/>
      <c r="D42" s="18"/>
    </row>
    <row r="43" spans="1:4" x14ac:dyDescent="0.25">
      <c r="A43" s="18"/>
      <c r="B43" s="43"/>
      <c r="C43" s="52"/>
      <c r="D43" s="18"/>
    </row>
    <row r="44" spans="1:4" x14ac:dyDescent="0.25">
      <c r="A44" s="18"/>
      <c r="B44" s="43"/>
      <c r="C44" s="52"/>
      <c r="D44" s="18"/>
    </row>
  </sheetData>
  <hyperlinks>
    <hyperlink ref="A3" r:id="rId1" display="SW Arrests by Nationality"/>
    <hyperlink ref="A31" r:id="rId2"/>
    <hyperlink ref="A41" r:id="rId3"/>
  </hyperlinks>
  <pageMargins left="0.7" right="0.7" top="0.75" bottom="0.75" header="0.3" footer="0.3"/>
  <pageSetup orientation="portrait" r:id="rId4"/>
  <ignoredErrors>
    <ignoredError sqref="B3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32"/>
  <sheetViews>
    <sheetView workbookViewId="0">
      <selection activeCell="F1" sqref="F1"/>
    </sheetView>
  </sheetViews>
  <sheetFormatPr defaultRowHeight="15" x14ac:dyDescent="0.25"/>
  <cols>
    <col min="1" max="1" width="28.42578125" style="95" customWidth="1"/>
    <col min="2" max="3" width="17.42578125" customWidth="1"/>
    <col min="4" max="4" width="15.140625" customWidth="1"/>
    <col min="5" max="6" width="4" customWidth="1"/>
  </cols>
  <sheetData>
    <row r="1" spans="1:6" ht="21" x14ac:dyDescent="0.35">
      <c r="A1" s="119" t="s">
        <v>426</v>
      </c>
      <c r="B1" s="120"/>
      <c r="C1" s="120"/>
      <c r="D1" s="120"/>
      <c r="E1" s="120"/>
      <c r="F1" s="120"/>
    </row>
    <row r="2" spans="1:6" ht="21" x14ac:dyDescent="0.35">
      <c r="A2" s="119"/>
      <c r="B2" s="120"/>
      <c r="C2" s="120"/>
      <c r="D2" s="120"/>
      <c r="E2" s="120"/>
      <c r="F2" s="120"/>
    </row>
    <row r="3" spans="1:6" x14ac:dyDescent="0.25">
      <c r="A3" s="82"/>
      <c r="B3" s="18"/>
      <c r="C3" s="18"/>
      <c r="D3" s="18"/>
      <c r="E3" s="18"/>
      <c r="F3" s="18"/>
    </row>
    <row r="4" spans="1:6" s="22" customFormat="1" x14ac:dyDescent="0.25">
      <c r="A4" s="93"/>
      <c r="B4" s="83" t="s">
        <v>399</v>
      </c>
      <c r="C4" s="83" t="s">
        <v>400</v>
      </c>
      <c r="D4" s="83" t="s">
        <v>231</v>
      </c>
      <c r="E4" s="57"/>
      <c r="F4" s="57"/>
    </row>
    <row r="5" spans="1:6" s="22" customFormat="1" x14ac:dyDescent="0.25">
      <c r="A5" s="118" t="s">
        <v>390</v>
      </c>
      <c r="B5" s="84">
        <f>+Demographics!B23</f>
        <v>711442.15199666272</v>
      </c>
      <c r="C5" s="84">
        <f>+Demographics!B29</f>
        <v>152632.76307916673</v>
      </c>
      <c r="D5" s="84">
        <f>+C5+B5</f>
        <v>864074.91507582949</v>
      </c>
      <c r="E5" s="84"/>
      <c r="F5" s="57"/>
    </row>
    <row r="6" spans="1:6" s="22" customFormat="1" x14ac:dyDescent="0.25">
      <c r="A6" s="93"/>
      <c r="B6" s="57"/>
      <c r="C6" s="57"/>
      <c r="D6" s="57"/>
      <c r="E6" s="57"/>
      <c r="F6" s="57"/>
    </row>
    <row r="7" spans="1:6" s="22" customFormat="1" ht="30" x14ac:dyDescent="0.25">
      <c r="A7" s="118" t="s">
        <v>422</v>
      </c>
      <c r="B7" s="83" t="s">
        <v>399</v>
      </c>
      <c r="C7" s="83" t="s">
        <v>400</v>
      </c>
      <c r="D7" s="83" t="s">
        <v>401</v>
      </c>
      <c r="E7" s="83"/>
      <c r="F7" s="57"/>
    </row>
    <row r="8" spans="1:6" s="22" customFormat="1" ht="17.25" customHeight="1" x14ac:dyDescent="0.25">
      <c r="A8" s="94" t="s">
        <v>17</v>
      </c>
      <c r="B8" s="85">
        <v>3.0000000000000001E-3</v>
      </c>
      <c r="C8" s="85">
        <f>1/2500</f>
        <v>4.0000000000000002E-4</v>
      </c>
      <c r="D8" s="86">
        <v>1</v>
      </c>
      <c r="E8" s="85"/>
      <c r="F8" s="57"/>
    </row>
    <row r="9" spans="1:6" s="22" customFormat="1" ht="17.25" customHeight="1" x14ac:dyDescent="0.25">
      <c r="A9" s="94" t="s">
        <v>405</v>
      </c>
      <c r="B9" s="86">
        <v>0.6</v>
      </c>
      <c r="C9" s="86">
        <v>0.06</v>
      </c>
      <c r="D9" s="86">
        <v>0.27</v>
      </c>
      <c r="E9" s="85"/>
      <c r="F9" s="57"/>
    </row>
    <row r="10" spans="1:6" s="22" customFormat="1" ht="17.25" customHeight="1" x14ac:dyDescent="0.25">
      <c r="A10" s="94" t="s">
        <v>311</v>
      </c>
      <c r="B10" s="87">
        <v>0.03</v>
      </c>
      <c r="C10" s="87">
        <f>+B10</f>
        <v>0.03</v>
      </c>
      <c r="D10" s="86">
        <v>1</v>
      </c>
      <c r="E10" s="88"/>
      <c r="F10" s="57"/>
    </row>
    <row r="11" spans="1:6" s="22" customFormat="1" ht="17.25" customHeight="1" x14ac:dyDescent="0.25">
      <c r="A11" s="94" t="s">
        <v>312</v>
      </c>
      <c r="B11" s="87">
        <v>3.5000000000000003E-2</v>
      </c>
      <c r="C11" s="87">
        <v>1.6E-2</v>
      </c>
      <c r="D11" s="86">
        <v>1</v>
      </c>
      <c r="E11" s="88"/>
      <c r="F11" s="57"/>
    </row>
    <row r="12" spans="1:6" s="22" customFormat="1" ht="17.25" customHeight="1" x14ac:dyDescent="0.25">
      <c r="A12" s="94" t="s">
        <v>402</v>
      </c>
      <c r="B12" s="88">
        <v>0.2</v>
      </c>
      <c r="C12" s="88">
        <f>+B12</f>
        <v>0.2</v>
      </c>
      <c r="D12" s="88">
        <v>0.8</v>
      </c>
      <c r="E12" s="88"/>
      <c r="F12" s="57"/>
    </row>
    <row r="13" spans="1:6" s="22" customFormat="1" ht="17.25" customHeight="1" x14ac:dyDescent="0.25">
      <c r="A13" s="94" t="s">
        <v>320</v>
      </c>
      <c r="B13" s="88">
        <v>0.15</v>
      </c>
      <c r="C13" s="88">
        <v>0.03</v>
      </c>
      <c r="D13" s="88">
        <v>0.73</v>
      </c>
      <c r="E13" s="88"/>
      <c r="F13" s="57"/>
    </row>
    <row r="14" spans="1:6" s="22" customFormat="1" ht="17.25" customHeight="1" x14ac:dyDescent="0.25">
      <c r="A14" s="94" t="s">
        <v>423</v>
      </c>
      <c r="B14" s="88">
        <v>0.74</v>
      </c>
      <c r="C14" s="88">
        <v>1</v>
      </c>
      <c r="D14" s="88">
        <v>1</v>
      </c>
      <c r="E14" s="88"/>
      <c r="F14" s="57"/>
    </row>
    <row r="15" spans="1:6" s="22" customFormat="1" ht="17.25" customHeight="1" x14ac:dyDescent="0.25">
      <c r="A15" s="94" t="s">
        <v>340</v>
      </c>
      <c r="B15" s="88">
        <v>0.1</v>
      </c>
      <c r="C15" s="88">
        <v>0.03</v>
      </c>
      <c r="D15" s="88">
        <v>1</v>
      </c>
      <c r="E15" s="88"/>
      <c r="F15" s="57"/>
    </row>
    <row r="16" spans="1:6" s="22" customFormat="1" ht="17.25" customHeight="1" x14ac:dyDescent="0.25">
      <c r="A16" s="94" t="s">
        <v>421</v>
      </c>
      <c r="B16" s="89">
        <v>0.1</v>
      </c>
      <c r="C16" s="88">
        <v>0.2</v>
      </c>
      <c r="D16" s="86">
        <v>1</v>
      </c>
      <c r="E16" s="88"/>
      <c r="F16" s="57"/>
    </row>
    <row r="17" spans="1:6" s="22" customFormat="1" ht="17.25" customHeight="1" x14ac:dyDescent="0.25">
      <c r="A17" s="94" t="s">
        <v>243</v>
      </c>
      <c r="B17" s="90" t="s">
        <v>403</v>
      </c>
      <c r="C17" s="90" t="s">
        <v>403</v>
      </c>
      <c r="D17" s="57"/>
      <c r="E17" s="90"/>
      <c r="F17" s="57"/>
    </row>
    <row r="18" spans="1:6" s="22" customFormat="1" x14ac:dyDescent="0.25">
      <c r="A18" s="93"/>
      <c r="B18" s="57"/>
      <c r="C18" s="57"/>
      <c r="D18" s="57"/>
      <c r="E18" s="57"/>
      <c r="F18" s="57"/>
    </row>
    <row r="19" spans="1:6" s="22" customFormat="1" x14ac:dyDescent="0.25">
      <c r="A19" s="93"/>
      <c r="B19" s="83" t="s">
        <v>399</v>
      </c>
      <c r="C19" s="83" t="s">
        <v>400</v>
      </c>
      <c r="D19" s="83" t="s">
        <v>231</v>
      </c>
      <c r="E19" s="57"/>
      <c r="F19" s="57"/>
    </row>
    <row r="20" spans="1:6" s="22" customFormat="1" ht="21" customHeight="1" x14ac:dyDescent="0.25">
      <c r="A20" s="94" t="s">
        <v>17</v>
      </c>
      <c r="B20" s="84">
        <f t="shared" ref="B20:C26" si="0">+B8*B$5*$D8</f>
        <v>2134.3264559899881</v>
      </c>
      <c r="C20" s="84">
        <f t="shared" si="0"/>
        <v>61.053105231666699</v>
      </c>
      <c r="D20" s="84">
        <f t="shared" ref="D20:D27" si="1">+ROUND(C20+B20:B20,-2)</f>
        <v>2200</v>
      </c>
      <c r="E20" s="57"/>
      <c r="F20" s="57"/>
    </row>
    <row r="21" spans="1:6" s="22" customFormat="1" ht="21" customHeight="1" x14ac:dyDescent="0.25">
      <c r="A21" s="94" t="s">
        <v>405</v>
      </c>
      <c r="B21" s="84">
        <f t="shared" si="0"/>
        <v>115253.62862345937</v>
      </c>
      <c r="C21" s="84">
        <f t="shared" si="0"/>
        <v>2472.6507618825012</v>
      </c>
      <c r="D21" s="84">
        <f t="shared" si="1"/>
        <v>117700</v>
      </c>
      <c r="E21" s="57"/>
      <c r="F21" s="57"/>
    </row>
    <row r="22" spans="1:6" s="22" customFormat="1" ht="21" customHeight="1" x14ac:dyDescent="0.25">
      <c r="A22" s="94" t="s">
        <v>311</v>
      </c>
      <c r="B22" s="84">
        <f t="shared" si="0"/>
        <v>21343.264559899882</v>
      </c>
      <c r="C22" s="84">
        <f t="shared" si="0"/>
        <v>4578.9828923750019</v>
      </c>
      <c r="D22" s="84">
        <f t="shared" si="1"/>
        <v>25900</v>
      </c>
      <c r="E22" s="57"/>
      <c r="F22" s="57"/>
    </row>
    <row r="23" spans="1:6" s="22" customFormat="1" ht="21" customHeight="1" x14ac:dyDescent="0.25">
      <c r="A23" s="94" t="s">
        <v>312</v>
      </c>
      <c r="B23" s="84">
        <f t="shared" si="0"/>
        <v>24900.475319883197</v>
      </c>
      <c r="C23" s="84">
        <f t="shared" si="0"/>
        <v>2442.1242092666675</v>
      </c>
      <c r="D23" s="84">
        <f t="shared" si="1"/>
        <v>27300</v>
      </c>
      <c r="E23" s="57"/>
      <c r="F23" s="57"/>
    </row>
    <row r="24" spans="1:6" s="22" customFormat="1" ht="21" customHeight="1" x14ac:dyDescent="0.25">
      <c r="A24" s="94" t="s">
        <v>402</v>
      </c>
      <c r="B24" s="84">
        <f t="shared" si="0"/>
        <v>113830.74431946604</v>
      </c>
      <c r="C24" s="84">
        <f t="shared" si="0"/>
        <v>24421.242092666682</v>
      </c>
      <c r="D24" s="84">
        <f t="shared" si="1"/>
        <v>138300</v>
      </c>
      <c r="E24" s="57"/>
      <c r="F24" s="57"/>
    </row>
    <row r="25" spans="1:6" s="22" customFormat="1" ht="21" customHeight="1" x14ac:dyDescent="0.25">
      <c r="A25" s="94" t="s">
        <v>320</v>
      </c>
      <c r="B25" s="84">
        <f t="shared" si="0"/>
        <v>77902.915643634566</v>
      </c>
      <c r="C25" s="84">
        <f t="shared" si="0"/>
        <v>3342.6575114337516</v>
      </c>
      <c r="D25" s="84">
        <f t="shared" si="1"/>
        <v>81200</v>
      </c>
      <c r="E25" s="57"/>
      <c r="F25" s="57"/>
    </row>
    <row r="26" spans="1:6" s="22" customFormat="1" ht="21" customHeight="1" x14ac:dyDescent="0.25">
      <c r="A26" s="94" t="s">
        <v>423</v>
      </c>
      <c r="B26" s="84">
        <f t="shared" si="0"/>
        <v>526467.19247753045</v>
      </c>
      <c r="C26" s="84">
        <f t="shared" si="0"/>
        <v>152632.76307916673</v>
      </c>
      <c r="D26" s="84">
        <f t="shared" ref="D26" si="2">+ROUND(C26+B26:B26,-2)</f>
        <v>679100</v>
      </c>
      <c r="E26" s="57"/>
      <c r="F26" s="57"/>
    </row>
    <row r="27" spans="1:6" s="22" customFormat="1" ht="21" customHeight="1" x14ac:dyDescent="0.25">
      <c r="A27" s="94" t="str">
        <f>+A15</f>
        <v>Extended Incarceration</v>
      </c>
      <c r="B27" s="91">
        <f t="shared" ref="B27:C27" si="3">+B15*B$5*$D15</f>
        <v>71144.215199666272</v>
      </c>
      <c r="C27" s="91">
        <f t="shared" si="3"/>
        <v>4578.9828923750019</v>
      </c>
      <c r="D27" s="91">
        <f t="shared" si="1"/>
        <v>75700</v>
      </c>
      <c r="E27" s="57"/>
      <c r="F27" s="57"/>
    </row>
    <row r="28" spans="1:6" s="22" customFormat="1" ht="21" customHeight="1" x14ac:dyDescent="0.25">
      <c r="A28" s="94" t="s">
        <v>425</v>
      </c>
      <c r="B28" s="92">
        <f>SUM(B20:B27)</f>
        <v>952976.7625995297</v>
      </c>
      <c r="C28" s="92">
        <f>SUM(C20:C27)</f>
        <v>194530.45654439801</v>
      </c>
      <c r="D28" s="92">
        <f>SUM(D20:D27)</f>
        <v>1147400</v>
      </c>
      <c r="E28" s="57"/>
      <c r="F28" s="57"/>
    </row>
    <row r="29" spans="1:6" s="99" customFormat="1" ht="15.75" customHeight="1" x14ac:dyDescent="0.25">
      <c r="A29" s="101" t="s">
        <v>406</v>
      </c>
      <c r="B29" s="97">
        <f>+B28/B5</f>
        <v>1.3394999999999999</v>
      </c>
      <c r="C29" s="97">
        <f t="shared" ref="C29:D29" si="4">+C28/C5</f>
        <v>1.2745</v>
      </c>
      <c r="D29" s="97">
        <f t="shared" si="4"/>
        <v>1.3278941211935384</v>
      </c>
      <c r="E29" s="98"/>
      <c r="F29" s="98"/>
    </row>
    <row r="30" spans="1:6" s="22" customFormat="1" ht="25.5" customHeight="1" x14ac:dyDescent="0.25">
      <c r="A30" s="94" t="str">
        <f>+A16</f>
        <v>Abandoned Trip</v>
      </c>
      <c r="B30" s="91">
        <f>+B16*B$5*$D16</f>
        <v>71144.215199666272</v>
      </c>
      <c r="C30" s="91">
        <f>+C16*C$5*$D16</f>
        <v>30526.552615833349</v>
      </c>
      <c r="D30" s="91">
        <f>+ROUND(C30+B30:B30,-2)</f>
        <v>101700</v>
      </c>
      <c r="E30" s="57"/>
      <c r="F30" s="57"/>
    </row>
    <row r="31" spans="1:6" s="22" customFormat="1" ht="21" customHeight="1" x14ac:dyDescent="0.25">
      <c r="A31" s="94" t="s">
        <v>424</v>
      </c>
      <c r="B31" s="92">
        <f>+B30+B28</f>
        <v>1024120.977799196</v>
      </c>
      <c r="C31" s="92">
        <f t="shared" ref="C31:D31" si="5">+C30+C28</f>
        <v>225057.00916023136</v>
      </c>
      <c r="D31" s="92">
        <f t="shared" si="5"/>
        <v>1249100</v>
      </c>
      <c r="E31" s="57"/>
      <c r="F31" s="57"/>
    </row>
    <row r="32" spans="1:6" s="99" customFormat="1" x14ac:dyDescent="0.25">
      <c r="A32" s="102" t="s">
        <v>406</v>
      </c>
      <c r="B32" s="100">
        <f>+B31/B5</f>
        <v>1.4395</v>
      </c>
      <c r="C32" s="100">
        <f t="shared" ref="C32:D32" si="6">+C31/C5</f>
        <v>1.4745000000000001</v>
      </c>
      <c r="D32" s="100">
        <f t="shared" si="6"/>
        <v>1.445592249244247</v>
      </c>
      <c r="E32" s="98"/>
      <c r="F32"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V41"/>
  <sheetViews>
    <sheetView tabSelected="1" workbookViewId="0">
      <selection activeCell="D26" sqref="D26"/>
    </sheetView>
  </sheetViews>
  <sheetFormatPr defaultRowHeight="15" x14ac:dyDescent="0.25"/>
  <cols>
    <col min="1" max="1" width="1.42578125" customWidth="1"/>
    <col min="2" max="2" width="82.28515625" style="1" customWidth="1"/>
    <col min="3" max="3" width="26.28515625" style="12" customWidth="1"/>
    <col min="4" max="5" width="26.28515625" customWidth="1"/>
    <col min="6" max="6" width="11.28515625" customWidth="1"/>
    <col min="22" max="23" width="11.5703125" bestFit="1" customWidth="1"/>
  </cols>
  <sheetData>
    <row r="1" spans="1:22" ht="23.25" x14ac:dyDescent="0.35">
      <c r="A1" s="5" t="s">
        <v>437</v>
      </c>
      <c r="B1" s="26"/>
      <c r="C1" s="27"/>
      <c r="D1" s="18"/>
      <c r="E1" s="18"/>
      <c r="F1" s="18"/>
      <c r="G1" s="18"/>
      <c r="H1" s="18"/>
      <c r="I1" s="18"/>
      <c r="J1" s="18"/>
      <c r="K1" s="18"/>
      <c r="L1" s="18"/>
      <c r="M1" s="18"/>
      <c r="N1" s="18"/>
      <c r="O1" s="18"/>
      <c r="P1" s="18"/>
      <c r="Q1" s="18"/>
      <c r="R1" s="18"/>
      <c r="S1" s="18"/>
      <c r="T1" s="18"/>
      <c r="U1" s="18"/>
      <c r="V1" s="18"/>
    </row>
    <row r="2" spans="1:22" x14ac:dyDescent="0.25">
      <c r="A2" s="29" t="s">
        <v>434</v>
      </c>
      <c r="B2" s="26"/>
      <c r="C2" s="27"/>
      <c r="D2" s="27"/>
      <c r="E2" s="27"/>
      <c r="F2" s="18"/>
      <c r="G2" s="18"/>
      <c r="H2" s="18"/>
      <c r="I2" s="18"/>
      <c r="J2" s="18"/>
      <c r="K2" s="18"/>
      <c r="L2" s="18"/>
      <c r="M2" s="18"/>
      <c r="N2" s="18"/>
      <c r="O2" s="18"/>
      <c r="P2" s="18"/>
      <c r="Q2" s="18"/>
      <c r="R2" s="18"/>
      <c r="S2" s="18"/>
      <c r="T2" s="18"/>
      <c r="U2" s="18"/>
      <c r="V2" s="18"/>
    </row>
    <row r="3" spans="1:22" x14ac:dyDescent="0.25">
      <c r="A3" s="18"/>
      <c r="B3" s="26"/>
      <c r="C3" s="27"/>
      <c r="D3" s="27"/>
      <c r="E3" s="27"/>
      <c r="F3" s="18"/>
      <c r="G3" s="18"/>
      <c r="H3" s="18"/>
      <c r="I3" s="18"/>
      <c r="J3" s="18"/>
      <c r="K3" s="18"/>
      <c r="L3" s="18"/>
      <c r="M3" s="18"/>
      <c r="N3" s="18"/>
      <c r="O3" s="18"/>
      <c r="P3" s="18"/>
      <c r="Q3" s="18"/>
      <c r="R3" s="18"/>
      <c r="S3" s="18"/>
      <c r="T3" s="18"/>
      <c r="U3" s="18"/>
      <c r="V3" s="18"/>
    </row>
    <row r="4" spans="1:22" ht="23.25" x14ac:dyDescent="0.35">
      <c r="A4" s="28"/>
      <c r="B4" s="28"/>
      <c r="C4" s="28"/>
      <c r="D4" s="28"/>
      <c r="E4" s="28"/>
      <c r="F4" s="18"/>
      <c r="G4" s="18"/>
      <c r="H4" s="18"/>
      <c r="I4" s="18"/>
      <c r="J4" s="18"/>
      <c r="K4" s="18"/>
      <c r="L4" s="18"/>
      <c r="M4" s="18"/>
      <c r="N4" s="18"/>
      <c r="O4" s="18"/>
      <c r="P4" s="18"/>
      <c r="Q4" s="18"/>
      <c r="R4" s="18"/>
      <c r="S4" s="18"/>
      <c r="T4" s="18"/>
      <c r="U4" s="18"/>
      <c r="V4" s="18"/>
    </row>
    <row r="5" spans="1:22" ht="23.25" x14ac:dyDescent="0.35">
      <c r="A5" s="28"/>
      <c r="B5" s="28"/>
      <c r="C5" s="28"/>
      <c r="D5" s="28"/>
      <c r="E5" s="28"/>
      <c r="F5" s="18"/>
      <c r="G5" s="18"/>
      <c r="H5" s="18"/>
      <c r="I5" s="18"/>
      <c r="J5" s="18"/>
      <c r="K5" s="18"/>
      <c r="L5" s="18"/>
      <c r="M5" s="18"/>
      <c r="N5" s="18"/>
      <c r="O5" s="18"/>
      <c r="P5" s="18"/>
      <c r="Q5" s="18"/>
      <c r="R5" s="18"/>
      <c r="S5" s="18"/>
      <c r="T5" s="18"/>
      <c r="U5" s="18"/>
      <c r="V5" s="18"/>
    </row>
    <row r="6" spans="1:22" x14ac:dyDescent="0.25">
      <c r="A6" s="18"/>
      <c r="B6" s="26"/>
      <c r="C6" s="27"/>
      <c r="D6" s="18"/>
      <c r="E6" s="18"/>
      <c r="F6" s="18"/>
      <c r="G6" s="18"/>
      <c r="H6" s="18"/>
      <c r="I6" s="18"/>
      <c r="J6" s="18"/>
      <c r="K6" s="18"/>
      <c r="L6" s="18"/>
      <c r="M6" s="18"/>
      <c r="N6" s="18"/>
      <c r="O6" s="18"/>
      <c r="P6" s="18"/>
      <c r="Q6" s="18"/>
      <c r="R6" s="18"/>
      <c r="S6" s="18"/>
      <c r="T6" s="18"/>
      <c r="U6" s="18"/>
      <c r="V6" s="18"/>
    </row>
    <row r="7" spans="1:22" ht="46.5" x14ac:dyDescent="0.35">
      <c r="A7" s="18"/>
      <c r="B7" s="26"/>
      <c r="C7" s="125" t="s">
        <v>436</v>
      </c>
      <c r="D7" s="126" t="s">
        <v>155</v>
      </c>
      <c r="E7" s="126" t="s">
        <v>231</v>
      </c>
      <c r="F7" s="18"/>
      <c r="G7" s="18"/>
      <c r="H7" s="18"/>
      <c r="I7" s="18"/>
      <c r="J7" s="18"/>
      <c r="K7" s="18"/>
      <c r="L7" s="18"/>
      <c r="M7" s="18"/>
      <c r="N7" s="18"/>
      <c r="O7" s="18"/>
      <c r="P7" s="18"/>
      <c r="Q7" s="18"/>
      <c r="R7" s="18"/>
      <c r="S7" s="18"/>
      <c r="T7" s="18"/>
      <c r="U7" s="18"/>
      <c r="V7" s="18"/>
    </row>
    <row r="8" spans="1:22" ht="24.75" customHeight="1" x14ac:dyDescent="0.25">
      <c r="A8" s="61"/>
      <c r="B8" s="121" t="str">
        <f>+Probabilities!A20</f>
        <v>Death</v>
      </c>
      <c r="C8" s="65">
        <f>+Death!C12</f>
        <v>700</v>
      </c>
      <c r="D8" s="65">
        <v>1300</v>
      </c>
      <c r="E8" s="65">
        <f>+Probabilities!D20</f>
        <v>2200</v>
      </c>
      <c r="F8" s="26"/>
      <c r="G8" s="18"/>
      <c r="H8" s="18"/>
      <c r="I8" s="18"/>
      <c r="J8" s="18"/>
      <c r="K8" s="18"/>
      <c r="L8" s="18"/>
      <c r="M8" s="18"/>
      <c r="N8" s="18"/>
      <c r="O8" s="18"/>
      <c r="P8" s="18"/>
      <c r="Q8" s="18"/>
      <c r="R8" s="18"/>
      <c r="S8" s="18"/>
      <c r="T8" s="18"/>
      <c r="U8" s="18"/>
      <c r="V8" s="18"/>
    </row>
    <row r="9" spans="1:22" ht="24.75" customHeight="1" x14ac:dyDescent="0.25">
      <c r="A9" s="61"/>
      <c r="B9" s="121" t="str">
        <f>+Probabilities!A21</f>
        <v>Rape / Coerced Sex</v>
      </c>
      <c r="C9" s="65">
        <f>+E9-D9</f>
        <v>58000</v>
      </c>
      <c r="D9" s="65">
        <v>60000</v>
      </c>
      <c r="E9" s="65">
        <f>+ROUND(Probabilities!D21,-3)</f>
        <v>118000</v>
      </c>
      <c r="F9" s="26"/>
      <c r="G9" s="18"/>
      <c r="H9" s="18"/>
      <c r="I9" s="18"/>
      <c r="J9" s="18"/>
      <c r="K9" s="18"/>
      <c r="L9" s="18"/>
      <c r="M9" s="18"/>
      <c r="N9" s="18"/>
      <c r="O9" s="18"/>
      <c r="P9" s="18"/>
      <c r="Q9" s="18"/>
      <c r="R9" s="18"/>
      <c r="S9" s="18"/>
      <c r="T9" s="18"/>
      <c r="U9" s="18"/>
      <c r="V9" s="18"/>
    </row>
    <row r="10" spans="1:22" ht="24.75" customHeight="1" x14ac:dyDescent="0.25">
      <c r="A10" s="61"/>
      <c r="B10" s="121" t="str">
        <f>+Probabilities!A22</f>
        <v>Kidnapping and extortion</v>
      </c>
      <c r="C10" s="65">
        <f>+E10-D10</f>
        <v>0</v>
      </c>
      <c r="D10" s="65">
        <f>+E10</f>
        <v>26000</v>
      </c>
      <c r="E10" s="65">
        <f>+ROUND(Probabilities!D22,-3)</f>
        <v>26000</v>
      </c>
      <c r="F10" s="26"/>
      <c r="G10" s="18"/>
      <c r="H10" s="18"/>
      <c r="I10" s="18"/>
      <c r="J10" s="18"/>
      <c r="K10" s="18"/>
      <c r="L10" s="18"/>
      <c r="M10" s="18"/>
      <c r="N10" s="18"/>
      <c r="O10" s="18"/>
      <c r="P10" s="18"/>
      <c r="Q10" s="18"/>
      <c r="R10" s="18"/>
      <c r="S10" s="18"/>
      <c r="T10" s="18"/>
      <c r="U10" s="18"/>
      <c r="V10" s="18"/>
    </row>
    <row r="11" spans="1:22" ht="24.75" customHeight="1" x14ac:dyDescent="0.25">
      <c r="A11" s="61"/>
      <c r="B11" s="121" t="str">
        <f>+Probabilities!A23</f>
        <v>Human trafficking</v>
      </c>
      <c r="C11" s="65">
        <v>17000</v>
      </c>
      <c r="D11" s="65">
        <f>+E11-C11</f>
        <v>10000</v>
      </c>
      <c r="E11" s="65">
        <f>+ROUND(Probabilities!D23,-3)</f>
        <v>27000</v>
      </c>
      <c r="F11" s="26"/>
      <c r="G11" s="18"/>
      <c r="H11" s="18"/>
      <c r="I11" s="18"/>
      <c r="J11" s="18"/>
      <c r="K11" s="18"/>
      <c r="L11" s="18"/>
      <c r="M11" s="18"/>
      <c r="N11" s="18"/>
      <c r="O11" s="18"/>
      <c r="P11" s="18"/>
      <c r="Q11" s="18"/>
      <c r="R11" s="18"/>
      <c r="S11" s="18"/>
      <c r="T11" s="18"/>
      <c r="U11" s="18"/>
      <c r="V11" s="18"/>
    </row>
    <row r="12" spans="1:22" ht="23.25" x14ac:dyDescent="0.25">
      <c r="A12" s="61"/>
      <c r="B12" s="121" t="str">
        <f>+Probabilities!A24</f>
        <v>Assault / Robbery</v>
      </c>
      <c r="C12" s="65">
        <f>+E12-D12</f>
        <v>6900</v>
      </c>
      <c r="D12" s="65">
        <f>+E12*0.95</f>
        <v>131100</v>
      </c>
      <c r="E12" s="65">
        <f>+ROUND(Probabilities!D24,-3)</f>
        <v>138000</v>
      </c>
      <c r="F12" s="18"/>
      <c r="G12" s="18"/>
      <c r="H12" s="18"/>
      <c r="I12" s="18"/>
      <c r="J12" s="18"/>
      <c r="K12" s="18"/>
      <c r="L12" s="18"/>
      <c r="M12" s="18"/>
      <c r="N12" s="18"/>
      <c r="O12" s="18"/>
      <c r="P12" s="18"/>
      <c r="Q12" s="18"/>
      <c r="R12" s="18"/>
      <c r="S12" s="18"/>
      <c r="T12" s="18"/>
      <c r="U12" s="18"/>
      <c r="V12" s="18"/>
    </row>
    <row r="13" spans="1:22" ht="23.25" x14ac:dyDescent="0.25">
      <c r="A13" s="61"/>
      <c r="B13" s="121" t="str">
        <f>+Probabilities!A25</f>
        <v>Drug Smuggling</v>
      </c>
      <c r="C13" s="65">
        <f>+E13-D13</f>
        <v>71000</v>
      </c>
      <c r="D13" s="65">
        <v>10000</v>
      </c>
      <c r="E13" s="65">
        <f>+ROUND(Probabilities!D25,-3)</f>
        <v>81000</v>
      </c>
      <c r="F13" s="18"/>
      <c r="G13" s="18"/>
      <c r="H13" s="18"/>
      <c r="I13" s="18"/>
      <c r="J13" s="18"/>
      <c r="K13" s="18"/>
      <c r="L13" s="18"/>
      <c r="M13" s="18"/>
      <c r="N13" s="18"/>
      <c r="O13" s="18"/>
      <c r="P13" s="18"/>
      <c r="Q13" s="18"/>
      <c r="R13" s="18"/>
      <c r="S13" s="18"/>
      <c r="T13" s="18"/>
      <c r="U13" s="18"/>
      <c r="V13" s="18"/>
    </row>
    <row r="14" spans="1:22" ht="23.25" x14ac:dyDescent="0.25">
      <c r="A14" s="61"/>
      <c r="B14" s="121" t="str">
        <f>+Probabilities!A27</f>
        <v>Extended Incarceration</v>
      </c>
      <c r="C14" s="65">
        <f>+E14-D14</f>
        <v>68400</v>
      </c>
      <c r="D14" s="65">
        <f>+E14*0.1</f>
        <v>7600</v>
      </c>
      <c r="E14" s="65">
        <f>+ROUND(Probabilities!D27,-3)</f>
        <v>76000</v>
      </c>
      <c r="F14" s="18"/>
      <c r="G14" s="18"/>
      <c r="H14" s="18"/>
      <c r="I14" s="18"/>
      <c r="J14" s="18"/>
      <c r="K14" s="18"/>
      <c r="L14" s="18"/>
      <c r="M14" s="18"/>
      <c r="N14" s="18"/>
      <c r="O14" s="18"/>
      <c r="P14" s="18"/>
      <c r="Q14" s="18"/>
      <c r="R14" s="18"/>
      <c r="S14" s="18"/>
      <c r="T14" s="18"/>
      <c r="U14" s="18"/>
      <c r="V14" s="18"/>
    </row>
    <row r="15" spans="1:22" s="22" customFormat="1" ht="29.25" customHeight="1" x14ac:dyDescent="0.25">
      <c r="A15" s="62"/>
      <c r="B15" s="122" t="s">
        <v>231</v>
      </c>
      <c r="C15" s="73">
        <f>SUM(C8:C14)</f>
        <v>222000</v>
      </c>
      <c r="D15" s="73">
        <f t="shared" ref="D15:E15" si="0">SUM(D8:D14)</f>
        <v>246000</v>
      </c>
      <c r="E15" s="73">
        <f t="shared" si="0"/>
        <v>468200</v>
      </c>
      <c r="F15" s="123"/>
      <c r="G15" s="57"/>
      <c r="H15" s="57"/>
      <c r="I15" s="57"/>
      <c r="J15" s="57"/>
      <c r="K15" s="57"/>
      <c r="L15" s="57"/>
      <c r="M15" s="57"/>
      <c r="N15" s="57"/>
      <c r="O15" s="57"/>
      <c r="P15" s="57"/>
      <c r="Q15" s="57"/>
      <c r="R15" s="57"/>
      <c r="S15" s="57"/>
      <c r="T15" s="57"/>
      <c r="U15" s="57"/>
      <c r="V15" s="57"/>
    </row>
    <row r="16" spans="1:22" ht="24.75" customHeight="1" x14ac:dyDescent="0.25">
      <c r="A16" s="61"/>
      <c r="B16" s="121" t="str">
        <f>+Probabilities!A26</f>
        <v>Arrested in US or Mexico</v>
      </c>
      <c r="C16" s="65">
        <f>+ROUND(Probabilities!B5*'Cost of Entry'!B9,-3)</f>
        <v>384000</v>
      </c>
      <c r="D16" s="65">
        <f>+E16-C16</f>
        <v>142000</v>
      </c>
      <c r="E16" s="65">
        <f>+ROUND(Probabilities!B26,-3)</f>
        <v>526000</v>
      </c>
      <c r="F16" s="26"/>
      <c r="G16" s="18"/>
      <c r="H16" s="18"/>
      <c r="I16" s="18"/>
      <c r="J16" s="18"/>
      <c r="K16" s="18"/>
      <c r="L16" s="18"/>
      <c r="M16" s="18"/>
      <c r="N16" s="18"/>
      <c r="O16" s="18"/>
      <c r="P16" s="18"/>
      <c r="Q16" s="18"/>
      <c r="R16" s="18"/>
      <c r="S16" s="18"/>
      <c r="T16" s="18"/>
      <c r="U16" s="18"/>
      <c r="V16" s="18"/>
    </row>
    <row r="17" spans="1:22" ht="24.75" customHeight="1" x14ac:dyDescent="0.25">
      <c r="A17" s="61"/>
      <c r="B17" s="121" t="s">
        <v>421</v>
      </c>
      <c r="C17" s="65">
        <f>+E17-D17</f>
        <v>92000</v>
      </c>
      <c r="D17" s="65">
        <v>10000</v>
      </c>
      <c r="E17" s="65">
        <f>+ROUND(Probabilities!D30,-3)</f>
        <v>102000</v>
      </c>
      <c r="F17" s="26"/>
      <c r="G17" s="18"/>
      <c r="H17" s="18"/>
      <c r="I17" s="18"/>
      <c r="J17" s="18"/>
      <c r="K17" s="18"/>
      <c r="L17" s="18"/>
      <c r="M17" s="18"/>
      <c r="N17" s="18"/>
      <c r="O17" s="18"/>
      <c r="P17" s="18"/>
      <c r="Q17" s="18"/>
      <c r="R17" s="18"/>
      <c r="S17" s="18"/>
      <c r="T17" s="18"/>
      <c r="U17" s="18"/>
      <c r="V17" s="18"/>
    </row>
    <row r="18" spans="1:22" s="22" customFormat="1" ht="29.25" customHeight="1" x14ac:dyDescent="0.25">
      <c r="A18" s="62"/>
      <c r="B18" s="122" t="s">
        <v>428</v>
      </c>
      <c r="C18" s="79">
        <f>SUM(C15:C17)</f>
        <v>698000</v>
      </c>
      <c r="D18" s="79">
        <f t="shared" ref="D18:E18" si="1">SUM(D15:D17)</f>
        <v>398000</v>
      </c>
      <c r="E18" s="79">
        <f t="shared" si="1"/>
        <v>1096200</v>
      </c>
      <c r="F18" s="123"/>
      <c r="G18" s="57"/>
      <c r="H18" s="57"/>
      <c r="I18" s="57"/>
      <c r="J18" s="57"/>
      <c r="K18" s="57"/>
      <c r="L18" s="57"/>
      <c r="M18" s="57"/>
      <c r="N18" s="57"/>
      <c r="O18" s="57"/>
      <c r="P18" s="57"/>
      <c r="Q18" s="57"/>
      <c r="R18" s="57"/>
      <c r="S18" s="57"/>
      <c r="T18" s="57"/>
      <c r="U18" s="57"/>
      <c r="V18" s="57"/>
    </row>
    <row r="19" spans="1:22" x14ac:dyDescent="0.25">
      <c r="A19" s="18"/>
      <c r="B19" s="26"/>
      <c r="C19" s="26"/>
      <c r="D19" s="26"/>
      <c r="E19" s="26"/>
      <c r="F19" s="26"/>
      <c r="G19" s="18"/>
      <c r="H19" s="18"/>
      <c r="I19" s="18"/>
      <c r="J19" s="18"/>
      <c r="K19" s="18"/>
      <c r="L19" s="18"/>
      <c r="M19" s="18"/>
      <c r="N19" s="18"/>
      <c r="O19" s="18"/>
      <c r="P19" s="18"/>
      <c r="Q19" s="18"/>
      <c r="R19" s="18"/>
      <c r="S19" s="18"/>
      <c r="T19" s="18"/>
      <c r="U19" s="18"/>
      <c r="V19" s="18"/>
    </row>
    <row r="20" spans="1:22" x14ac:dyDescent="0.25">
      <c r="A20" s="18"/>
      <c r="B20" s="26"/>
      <c r="C20" s="26"/>
      <c r="D20" s="26"/>
      <c r="E20" s="26"/>
      <c r="F20" s="26"/>
      <c r="G20" s="18"/>
      <c r="H20" s="18"/>
      <c r="I20" s="18"/>
      <c r="J20" s="18"/>
      <c r="K20" s="18"/>
      <c r="L20" s="18"/>
      <c r="M20" s="18"/>
      <c r="N20" s="18"/>
      <c r="O20" s="18"/>
      <c r="P20" s="18"/>
      <c r="Q20" s="18"/>
      <c r="R20" s="18"/>
      <c r="S20" s="18"/>
      <c r="T20" s="18"/>
      <c r="U20" s="18"/>
      <c r="V20" s="18"/>
    </row>
    <row r="21" spans="1:22" x14ac:dyDescent="0.25">
      <c r="A21" s="18"/>
      <c r="B21" s="137" t="str">
        <f>+B8</f>
        <v>Death</v>
      </c>
      <c r="C21" s="138">
        <f>+E8</f>
        <v>2200</v>
      </c>
      <c r="D21" s="18"/>
      <c r="E21" s="18"/>
      <c r="F21" s="18"/>
      <c r="G21" s="18"/>
      <c r="H21" s="18"/>
      <c r="I21" s="18"/>
      <c r="J21" s="18"/>
      <c r="K21" s="18"/>
      <c r="L21" s="18"/>
      <c r="M21" s="18"/>
      <c r="N21" s="18"/>
      <c r="O21" s="18"/>
      <c r="P21" s="18"/>
      <c r="Q21" s="18"/>
      <c r="R21" s="18"/>
      <c r="S21" s="18"/>
      <c r="T21" s="18"/>
      <c r="U21" s="18"/>
      <c r="V21" s="18"/>
    </row>
    <row r="22" spans="1:22" x14ac:dyDescent="0.25">
      <c r="A22" s="18"/>
      <c r="B22" s="137" t="str">
        <f t="shared" ref="B22:B27" si="2">+B9</f>
        <v>Rape / Coerced Sex</v>
      </c>
      <c r="C22" s="138">
        <f t="shared" ref="C22:C27" si="3">+E9</f>
        <v>118000</v>
      </c>
      <c r="D22" s="18"/>
      <c r="E22" s="18"/>
      <c r="F22" s="18"/>
      <c r="G22" s="18"/>
      <c r="H22" s="18"/>
      <c r="I22" s="18"/>
      <c r="J22" s="18"/>
      <c r="K22" s="18"/>
      <c r="L22" s="18"/>
      <c r="M22" s="18"/>
      <c r="N22" s="18"/>
      <c r="O22" s="18"/>
      <c r="P22" s="18"/>
      <c r="Q22" s="18"/>
      <c r="R22" s="18"/>
      <c r="S22" s="18"/>
      <c r="T22" s="18"/>
      <c r="U22" s="18"/>
      <c r="V22" s="18"/>
    </row>
    <row r="23" spans="1:22" x14ac:dyDescent="0.25">
      <c r="A23" s="18"/>
      <c r="B23" s="137" t="str">
        <f t="shared" si="2"/>
        <v>Kidnapping and extortion</v>
      </c>
      <c r="C23" s="138">
        <f t="shared" si="3"/>
        <v>26000</v>
      </c>
      <c r="D23" s="18"/>
      <c r="E23" s="18"/>
      <c r="F23" s="18"/>
      <c r="G23" s="18"/>
      <c r="H23" s="18"/>
      <c r="I23" s="18"/>
      <c r="J23" s="18"/>
      <c r="K23" s="18"/>
      <c r="L23" s="18"/>
      <c r="M23" s="18"/>
      <c r="N23" s="18"/>
      <c r="O23" s="18"/>
      <c r="P23" s="18"/>
      <c r="Q23" s="18"/>
      <c r="R23" s="18"/>
      <c r="S23" s="18"/>
      <c r="T23" s="18"/>
      <c r="U23" s="18"/>
      <c r="V23" s="18"/>
    </row>
    <row r="24" spans="1:22" x14ac:dyDescent="0.25">
      <c r="A24" s="18"/>
      <c r="B24" s="137" t="str">
        <f t="shared" si="2"/>
        <v>Human trafficking</v>
      </c>
      <c r="C24" s="138">
        <f t="shared" si="3"/>
        <v>27000</v>
      </c>
      <c r="D24" s="18"/>
      <c r="E24" s="18"/>
      <c r="F24" s="18"/>
      <c r="G24" s="18"/>
      <c r="H24" s="18"/>
      <c r="I24" s="18"/>
      <c r="J24" s="18"/>
      <c r="K24" s="18"/>
      <c r="L24" s="18"/>
      <c r="M24" s="18"/>
      <c r="N24" s="18"/>
      <c r="O24" s="18"/>
      <c r="P24" s="18"/>
      <c r="Q24" s="18"/>
      <c r="R24" s="18"/>
      <c r="S24" s="18"/>
      <c r="T24" s="18"/>
      <c r="U24" s="18"/>
      <c r="V24" s="18"/>
    </row>
    <row r="25" spans="1:22" x14ac:dyDescent="0.25">
      <c r="A25" s="18"/>
      <c r="B25" s="137" t="str">
        <f t="shared" si="2"/>
        <v>Assault / Robbery</v>
      </c>
      <c r="C25" s="138">
        <f t="shared" si="3"/>
        <v>138000</v>
      </c>
      <c r="D25" s="18"/>
      <c r="E25" s="18"/>
      <c r="F25" s="18"/>
      <c r="G25" s="18"/>
      <c r="H25" s="18"/>
      <c r="I25" s="18"/>
      <c r="J25" s="18"/>
      <c r="K25" s="18"/>
      <c r="L25" s="18"/>
      <c r="M25" s="18"/>
      <c r="N25" s="18"/>
      <c r="O25" s="18"/>
      <c r="P25" s="18"/>
      <c r="Q25" s="18"/>
      <c r="R25" s="18"/>
      <c r="S25" s="18"/>
      <c r="T25" s="18"/>
      <c r="U25" s="18"/>
      <c r="V25" s="18"/>
    </row>
    <row r="26" spans="1:22" x14ac:dyDescent="0.25">
      <c r="A26" s="18"/>
      <c r="B26" s="137" t="str">
        <f t="shared" si="2"/>
        <v>Drug Smuggling</v>
      </c>
      <c r="C26" s="138">
        <f t="shared" si="3"/>
        <v>81000</v>
      </c>
      <c r="D26" s="18"/>
      <c r="E26" s="18"/>
      <c r="F26" s="18"/>
      <c r="G26" s="18"/>
      <c r="H26" s="18"/>
      <c r="I26" s="18"/>
      <c r="J26" s="18"/>
      <c r="K26" s="18"/>
      <c r="L26" s="18"/>
      <c r="M26" s="18"/>
      <c r="N26" s="18"/>
      <c r="O26" s="18"/>
      <c r="P26" s="18"/>
      <c r="Q26" s="18"/>
      <c r="R26" s="18"/>
      <c r="S26" s="18"/>
      <c r="T26" s="18"/>
      <c r="U26" s="18"/>
      <c r="V26" s="18"/>
    </row>
    <row r="27" spans="1:22" x14ac:dyDescent="0.25">
      <c r="A27" s="18"/>
      <c r="B27" s="137" t="str">
        <f t="shared" si="2"/>
        <v>Extended Incarceration</v>
      </c>
      <c r="C27" s="138">
        <f t="shared" si="3"/>
        <v>76000</v>
      </c>
      <c r="D27" s="18"/>
      <c r="E27" s="18"/>
      <c r="F27" s="18"/>
      <c r="G27" s="18"/>
      <c r="H27" s="18"/>
      <c r="I27" s="18"/>
      <c r="J27" s="18"/>
      <c r="K27" s="18"/>
      <c r="L27" s="18"/>
      <c r="M27" s="18"/>
      <c r="N27" s="18"/>
      <c r="O27" s="18"/>
      <c r="P27" s="18"/>
      <c r="Q27" s="18"/>
      <c r="R27" s="18"/>
      <c r="S27" s="18"/>
      <c r="T27" s="18"/>
      <c r="U27" s="18"/>
      <c r="V27" s="18"/>
    </row>
    <row r="28" spans="1:22" x14ac:dyDescent="0.25">
      <c r="A28" s="18"/>
      <c r="B28" s="137" t="str">
        <f>+B16</f>
        <v>Arrested in US or Mexico</v>
      </c>
      <c r="C28" s="138">
        <f>+E16</f>
        <v>526000</v>
      </c>
      <c r="D28" s="18"/>
      <c r="E28" s="18"/>
      <c r="F28" s="18"/>
      <c r="G28" s="18"/>
      <c r="H28" s="18"/>
      <c r="I28" s="18"/>
      <c r="J28" s="18"/>
      <c r="K28" s="18"/>
      <c r="L28" s="18"/>
      <c r="M28" s="18"/>
      <c r="N28" s="18"/>
      <c r="O28" s="18"/>
      <c r="P28" s="18"/>
      <c r="Q28" s="18"/>
      <c r="R28" s="18"/>
      <c r="S28" s="18"/>
      <c r="T28" s="18"/>
      <c r="U28" s="18"/>
      <c r="V28" s="18"/>
    </row>
    <row r="29" spans="1:22" x14ac:dyDescent="0.25">
      <c r="A29" s="18"/>
      <c r="B29" s="137" t="str">
        <f>+B17</f>
        <v>Abandoned Trip</v>
      </c>
      <c r="C29" s="138">
        <f>+E17</f>
        <v>102000</v>
      </c>
      <c r="D29" s="18"/>
      <c r="E29" s="18"/>
      <c r="F29" s="18"/>
      <c r="G29" s="18"/>
      <c r="H29" s="18"/>
      <c r="I29" s="18"/>
      <c r="J29" s="18"/>
      <c r="K29" s="18"/>
      <c r="L29" s="18"/>
      <c r="M29" s="18"/>
      <c r="N29" s="18"/>
      <c r="O29" s="18"/>
      <c r="P29" s="18"/>
      <c r="Q29" s="18"/>
      <c r="R29" s="18"/>
      <c r="S29" s="18"/>
      <c r="T29" s="18"/>
      <c r="U29" s="18"/>
      <c r="V29" s="18"/>
    </row>
    <row r="30" spans="1:22" x14ac:dyDescent="0.25">
      <c r="A30" s="18"/>
      <c r="B30" s="139"/>
      <c r="C30" s="138"/>
      <c r="D30" s="18"/>
      <c r="E30" s="18"/>
      <c r="F30" s="18"/>
      <c r="G30" s="18"/>
      <c r="H30" s="18"/>
      <c r="I30" s="18"/>
      <c r="J30" s="18"/>
      <c r="K30" s="18"/>
      <c r="L30" s="18"/>
      <c r="M30" s="18"/>
      <c r="N30" s="18"/>
      <c r="O30" s="18"/>
      <c r="P30" s="18"/>
      <c r="Q30" s="18"/>
      <c r="R30" s="18"/>
      <c r="S30" s="18"/>
      <c r="T30" s="18"/>
      <c r="U30" s="18"/>
      <c r="V30" s="18"/>
    </row>
    <row r="31" spans="1:22" x14ac:dyDescent="0.25">
      <c r="A31" s="18"/>
      <c r="B31" s="26"/>
      <c r="C31" s="27"/>
      <c r="D31" s="18"/>
      <c r="E31" s="18"/>
      <c r="F31" s="18"/>
      <c r="G31" s="18"/>
      <c r="H31" s="18"/>
      <c r="I31" s="18"/>
      <c r="J31" s="18"/>
      <c r="K31" s="18"/>
      <c r="L31" s="18"/>
      <c r="M31" s="18"/>
      <c r="N31" s="18"/>
      <c r="O31" s="18"/>
      <c r="P31" s="18"/>
      <c r="Q31" s="18"/>
      <c r="R31" s="18"/>
      <c r="S31" s="18"/>
      <c r="T31" s="18"/>
      <c r="U31" s="18"/>
      <c r="V31" s="18"/>
    </row>
    <row r="32" spans="1:22" x14ac:dyDescent="0.25">
      <c r="A32" s="18"/>
      <c r="B32" s="26"/>
      <c r="C32" s="27"/>
      <c r="D32" s="18"/>
      <c r="E32" s="18"/>
      <c r="F32" s="18"/>
      <c r="G32" s="18"/>
      <c r="H32" s="18"/>
      <c r="I32" s="18"/>
      <c r="J32" s="18"/>
      <c r="K32" s="18"/>
      <c r="L32" s="18"/>
      <c r="M32" s="18"/>
      <c r="N32" s="18"/>
      <c r="O32" s="18"/>
      <c r="P32" s="18"/>
      <c r="Q32" s="18"/>
      <c r="R32" s="18"/>
      <c r="S32" s="18"/>
      <c r="T32" s="18"/>
      <c r="U32" s="18"/>
      <c r="V32" s="18"/>
    </row>
    <row r="33" spans="1:22" x14ac:dyDescent="0.25">
      <c r="A33" s="18"/>
      <c r="B33" s="26"/>
      <c r="C33" s="27"/>
      <c r="D33" s="18"/>
      <c r="E33" s="18"/>
      <c r="F33" s="18"/>
      <c r="G33" s="18"/>
      <c r="H33" s="18"/>
      <c r="I33" s="18"/>
      <c r="J33" s="18"/>
      <c r="K33" s="18"/>
      <c r="L33" s="18"/>
      <c r="M33" s="18"/>
      <c r="N33" s="18"/>
      <c r="O33" s="18"/>
      <c r="P33" s="18"/>
      <c r="Q33" s="18"/>
      <c r="R33" s="18"/>
      <c r="S33" s="18"/>
      <c r="T33" s="18"/>
      <c r="U33" s="18"/>
      <c r="V33" s="18"/>
    </row>
    <row r="34" spans="1:22" x14ac:dyDescent="0.25">
      <c r="A34" s="18"/>
      <c r="B34" s="26"/>
      <c r="C34" s="27"/>
      <c r="D34" s="18"/>
      <c r="E34" s="18"/>
      <c r="F34" s="18"/>
      <c r="G34" s="18"/>
      <c r="H34" s="18"/>
      <c r="I34" s="18"/>
      <c r="J34" s="18"/>
      <c r="K34" s="18"/>
      <c r="L34" s="18"/>
      <c r="M34" s="18"/>
      <c r="N34" s="18"/>
      <c r="O34" s="18"/>
      <c r="P34" s="18"/>
      <c r="Q34" s="18"/>
      <c r="R34" s="18"/>
      <c r="S34" s="18"/>
      <c r="T34" s="18"/>
      <c r="U34" s="18"/>
      <c r="V34" s="18"/>
    </row>
    <row r="35" spans="1:22" x14ac:dyDescent="0.25">
      <c r="A35" s="18"/>
      <c r="B35" s="26"/>
      <c r="C35" s="27"/>
      <c r="D35" s="18"/>
      <c r="E35" s="18"/>
      <c r="F35" s="18"/>
      <c r="G35" s="18"/>
      <c r="H35" s="18"/>
      <c r="I35" s="18"/>
      <c r="J35" s="18"/>
      <c r="K35" s="18"/>
      <c r="L35" s="18"/>
      <c r="M35" s="18"/>
      <c r="N35" s="18"/>
      <c r="O35" s="18"/>
      <c r="P35" s="18"/>
      <c r="Q35" s="18"/>
      <c r="R35" s="18"/>
      <c r="S35" s="18"/>
      <c r="T35" s="18"/>
      <c r="U35" s="18"/>
      <c r="V35" s="18"/>
    </row>
    <row r="36" spans="1:22" x14ac:dyDescent="0.25">
      <c r="A36" s="18"/>
      <c r="B36" s="26"/>
      <c r="C36" s="27"/>
      <c r="D36" s="18"/>
      <c r="E36" s="18"/>
      <c r="F36" s="18"/>
      <c r="G36" s="18"/>
      <c r="H36" s="18"/>
      <c r="I36" s="18"/>
      <c r="J36" s="18"/>
      <c r="K36" s="18"/>
      <c r="L36" s="18"/>
      <c r="M36" s="18"/>
      <c r="N36" s="18"/>
      <c r="O36" s="18"/>
      <c r="P36" s="18"/>
      <c r="Q36" s="18"/>
      <c r="R36" s="18"/>
      <c r="S36" s="18"/>
      <c r="T36" s="18"/>
      <c r="U36" s="18"/>
      <c r="V36" s="18"/>
    </row>
    <row r="37" spans="1:22" x14ac:dyDescent="0.25">
      <c r="A37" s="18"/>
      <c r="B37" s="26"/>
      <c r="C37" s="27"/>
      <c r="D37" s="18"/>
      <c r="E37" s="18"/>
      <c r="F37" s="18"/>
      <c r="G37" s="18"/>
      <c r="H37" s="18"/>
      <c r="I37" s="18"/>
      <c r="J37" s="18"/>
      <c r="K37" s="18"/>
      <c r="L37" s="18"/>
      <c r="M37" s="18"/>
      <c r="N37" s="18"/>
      <c r="O37" s="18"/>
      <c r="P37" s="18"/>
      <c r="Q37" s="18"/>
      <c r="R37" s="18"/>
      <c r="S37" s="18"/>
      <c r="T37" s="18"/>
      <c r="U37" s="18"/>
      <c r="V37" s="18"/>
    </row>
    <row r="38" spans="1:22" x14ac:dyDescent="0.25">
      <c r="A38" s="18"/>
      <c r="B38" s="26"/>
      <c r="C38" s="27"/>
      <c r="D38" s="18"/>
      <c r="E38" s="18"/>
      <c r="F38" s="18"/>
      <c r="G38" s="18"/>
      <c r="H38" s="18"/>
      <c r="I38" s="18"/>
      <c r="J38" s="18"/>
      <c r="K38" s="18"/>
      <c r="L38" s="18"/>
      <c r="M38" s="18"/>
      <c r="N38" s="18"/>
      <c r="O38" s="18"/>
      <c r="P38" s="18"/>
      <c r="Q38" s="18"/>
      <c r="R38" s="18"/>
      <c r="S38" s="18"/>
      <c r="T38" s="18"/>
      <c r="U38" s="18"/>
      <c r="V38" s="18"/>
    </row>
    <row r="39" spans="1:22" x14ac:dyDescent="0.25">
      <c r="A39" s="18"/>
      <c r="B39" s="26"/>
      <c r="C39" s="27"/>
      <c r="D39" s="18"/>
      <c r="E39" s="18"/>
      <c r="F39" s="18"/>
      <c r="G39" s="18"/>
      <c r="H39" s="18"/>
      <c r="I39" s="18"/>
      <c r="J39" s="18"/>
      <c r="K39" s="18"/>
      <c r="L39" s="18"/>
      <c r="M39" s="18"/>
      <c r="N39" s="18"/>
      <c r="O39" s="18"/>
      <c r="P39" s="18"/>
      <c r="Q39" s="18"/>
      <c r="R39" s="18"/>
      <c r="S39" s="18"/>
      <c r="T39" s="18"/>
      <c r="U39" s="18"/>
      <c r="V39" s="18"/>
    </row>
    <row r="40" spans="1:22" x14ac:dyDescent="0.25">
      <c r="A40" s="18"/>
      <c r="B40" s="26"/>
      <c r="C40" s="27"/>
      <c r="D40" s="18"/>
      <c r="E40" s="18"/>
      <c r="F40" s="18"/>
      <c r="G40" s="18"/>
      <c r="H40" s="18"/>
      <c r="I40" s="18"/>
      <c r="J40" s="18"/>
      <c r="K40" s="18"/>
      <c r="L40" s="18"/>
      <c r="M40" s="18"/>
      <c r="N40" s="18"/>
      <c r="O40" s="18"/>
      <c r="P40" s="18"/>
      <c r="Q40" s="18"/>
      <c r="R40" s="18"/>
      <c r="S40" s="18"/>
      <c r="T40" s="18"/>
      <c r="U40" s="18"/>
      <c r="V40" s="18"/>
    </row>
    <row r="41" spans="1:22" x14ac:dyDescent="0.25">
      <c r="A41" s="18"/>
      <c r="B41" s="26"/>
      <c r="C41" s="27"/>
      <c r="D41" s="18"/>
      <c r="E41" s="18"/>
      <c r="F41" s="18"/>
      <c r="G41" s="18"/>
      <c r="H41" s="18"/>
      <c r="I41" s="18"/>
      <c r="J41" s="18"/>
      <c r="K41" s="18"/>
      <c r="L41" s="18"/>
      <c r="M41" s="18"/>
      <c r="N41" s="18"/>
      <c r="O41" s="18"/>
      <c r="P41" s="18"/>
      <c r="Q41" s="18"/>
      <c r="R41" s="18"/>
      <c r="S41" s="18"/>
      <c r="T41" s="18"/>
      <c r="U41" s="18"/>
      <c r="V41" s="1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V39"/>
  <sheetViews>
    <sheetView workbookViewId="0">
      <selection activeCell="E1" sqref="E1"/>
    </sheetView>
  </sheetViews>
  <sheetFormatPr defaultRowHeight="15" x14ac:dyDescent="0.25"/>
  <cols>
    <col min="1" max="1" width="2.42578125" customWidth="1"/>
    <col min="2" max="2" width="73.85546875" style="1" customWidth="1"/>
    <col min="3" max="3" width="22" style="12" customWidth="1"/>
    <col min="4" max="4" width="16" customWidth="1"/>
    <col min="5" max="5" width="18" customWidth="1"/>
    <col min="21" max="22" width="11.5703125" bestFit="1" customWidth="1"/>
  </cols>
  <sheetData>
    <row r="1" spans="1:21" ht="23.25" x14ac:dyDescent="0.35">
      <c r="A1" s="28" t="s">
        <v>355</v>
      </c>
      <c r="B1" s="26"/>
      <c r="C1" s="27"/>
      <c r="D1" s="18"/>
      <c r="E1" s="18"/>
      <c r="F1" s="77"/>
      <c r="G1" s="77"/>
      <c r="H1" s="77"/>
      <c r="I1" s="77"/>
      <c r="J1" s="77"/>
      <c r="K1" s="77"/>
      <c r="L1" s="77"/>
      <c r="M1" s="77"/>
      <c r="N1" s="77"/>
      <c r="O1" s="77"/>
      <c r="P1" s="77"/>
      <c r="Q1" s="77"/>
      <c r="R1" s="77"/>
      <c r="S1" s="77"/>
      <c r="T1" s="77"/>
      <c r="U1" s="18"/>
    </row>
    <row r="2" spans="1:21" ht="23.25" x14ac:dyDescent="0.35">
      <c r="A2" s="28" t="s">
        <v>356</v>
      </c>
      <c r="B2" s="26"/>
      <c r="C2" s="27"/>
      <c r="D2" s="18"/>
      <c r="E2" s="18"/>
      <c r="F2" s="77"/>
      <c r="G2" s="77"/>
      <c r="H2" s="77"/>
      <c r="I2" s="77"/>
      <c r="J2" s="77"/>
      <c r="K2" s="77"/>
      <c r="L2" s="77"/>
      <c r="M2" s="77"/>
      <c r="N2" s="77"/>
      <c r="O2" s="77"/>
      <c r="P2" s="77"/>
      <c r="Q2" s="77"/>
      <c r="R2" s="77"/>
      <c r="S2" s="77"/>
      <c r="T2" s="77"/>
      <c r="U2" s="18"/>
    </row>
    <row r="3" spans="1:21" x14ac:dyDescent="0.25">
      <c r="A3" s="29" t="s">
        <v>435</v>
      </c>
      <c r="B3" s="26"/>
      <c r="C3" s="27"/>
      <c r="D3" s="27"/>
      <c r="E3" s="27"/>
      <c r="F3" s="77"/>
      <c r="G3" s="77"/>
      <c r="H3" s="77"/>
      <c r="I3" s="77"/>
      <c r="J3" s="77"/>
      <c r="K3" s="77"/>
      <c r="L3" s="77"/>
      <c r="M3" s="77"/>
      <c r="N3" s="77"/>
      <c r="O3" s="77"/>
      <c r="P3" s="77"/>
      <c r="Q3" s="77"/>
      <c r="R3" s="77"/>
      <c r="S3" s="77"/>
      <c r="T3" s="77"/>
      <c r="U3" s="18"/>
    </row>
    <row r="4" spans="1:21" x14ac:dyDescent="0.25">
      <c r="A4" s="18"/>
      <c r="B4" s="26"/>
      <c r="C4" s="27"/>
      <c r="D4" s="27"/>
      <c r="E4" s="27"/>
      <c r="F4" s="77"/>
      <c r="G4" s="77"/>
      <c r="H4" s="77"/>
      <c r="I4" s="77"/>
      <c r="J4" s="77"/>
      <c r="K4" s="77"/>
      <c r="L4" s="77"/>
      <c r="M4" s="77"/>
      <c r="N4" s="77"/>
      <c r="O4" s="77"/>
      <c r="P4" s="77"/>
      <c r="Q4" s="77"/>
      <c r="R4" s="77"/>
      <c r="S4" s="77"/>
      <c r="T4" s="77"/>
      <c r="U4" s="18"/>
    </row>
    <row r="5" spans="1:21" ht="23.25" x14ac:dyDescent="0.35">
      <c r="A5" s="28"/>
      <c r="B5" s="28"/>
      <c r="C5" s="28"/>
      <c r="D5" s="28"/>
      <c r="E5" s="28"/>
      <c r="F5" s="77"/>
      <c r="G5" s="77"/>
      <c r="H5" s="77"/>
      <c r="I5" s="77"/>
      <c r="J5" s="77"/>
      <c r="K5" s="77"/>
      <c r="L5" s="77"/>
      <c r="M5" s="77"/>
      <c r="N5" s="77"/>
      <c r="O5" s="77"/>
      <c r="P5" s="77"/>
      <c r="Q5" s="77"/>
      <c r="R5" s="77"/>
      <c r="S5" s="77"/>
      <c r="T5" s="77"/>
      <c r="U5" s="18"/>
    </row>
    <row r="6" spans="1:21" ht="23.25" x14ac:dyDescent="0.35">
      <c r="A6" s="28"/>
      <c r="B6" s="28"/>
      <c r="C6" s="28"/>
      <c r="D6" s="28"/>
      <c r="E6" s="28"/>
      <c r="F6" s="77"/>
      <c r="G6" s="77"/>
      <c r="H6" s="77"/>
      <c r="I6" s="77"/>
      <c r="J6" s="77"/>
      <c r="K6" s="77"/>
      <c r="L6" s="77"/>
      <c r="M6" s="77"/>
      <c r="N6" s="77"/>
      <c r="O6" s="77"/>
      <c r="P6" s="77"/>
      <c r="Q6" s="77"/>
      <c r="R6" s="77"/>
      <c r="S6" s="77"/>
      <c r="T6" s="77"/>
      <c r="U6" s="18"/>
    </row>
    <row r="7" spans="1:21" x14ac:dyDescent="0.25">
      <c r="A7" s="18"/>
      <c r="B7" s="26"/>
      <c r="C7" s="27"/>
      <c r="D7" s="18"/>
      <c r="E7" s="18"/>
      <c r="F7" s="77"/>
      <c r="G7" s="77"/>
      <c r="H7" s="77"/>
      <c r="I7" s="77"/>
      <c r="J7" s="77"/>
      <c r="K7" s="77"/>
      <c r="L7" s="77"/>
      <c r="M7" s="77"/>
      <c r="N7" s="77"/>
      <c r="O7" s="77"/>
      <c r="P7" s="77"/>
      <c r="Q7" s="77"/>
      <c r="R7" s="77"/>
      <c r="S7" s="77"/>
      <c r="T7" s="77"/>
      <c r="U7" s="18"/>
    </row>
    <row r="8" spans="1:21" ht="46.5" x14ac:dyDescent="0.35">
      <c r="A8" s="18"/>
      <c r="B8" s="26"/>
      <c r="C8" s="63" t="s">
        <v>357</v>
      </c>
      <c r="D8" s="64" t="s">
        <v>358</v>
      </c>
      <c r="E8" s="64" t="s">
        <v>376</v>
      </c>
      <c r="F8" s="77"/>
      <c r="G8" s="77"/>
      <c r="H8" s="77"/>
      <c r="I8" s="77"/>
      <c r="J8" s="77"/>
      <c r="K8" s="77"/>
      <c r="L8" s="77"/>
      <c r="M8" s="77"/>
      <c r="N8" s="77"/>
      <c r="O8" s="77"/>
      <c r="P8" s="77"/>
      <c r="Q8" s="77"/>
      <c r="R8" s="77"/>
      <c r="S8" s="77"/>
      <c r="T8" s="77"/>
      <c r="U8" s="18"/>
    </row>
    <row r="9" spans="1:21" ht="24.75" customHeight="1" x14ac:dyDescent="0.25">
      <c r="A9" s="61"/>
      <c r="B9" s="66" t="str">
        <f>+Probabilities!A20</f>
        <v>Death</v>
      </c>
      <c r="C9" s="65">
        <f>+Probabilities!D20</f>
        <v>2200</v>
      </c>
      <c r="D9" s="65">
        <f>+ROUND(C9*(1-E9),-2)</f>
        <v>200</v>
      </c>
      <c r="E9" s="74">
        <v>0.9</v>
      </c>
      <c r="F9" s="77"/>
      <c r="G9" s="77"/>
      <c r="H9" s="77"/>
      <c r="I9" s="77"/>
      <c r="J9" s="77"/>
      <c r="K9" s="77"/>
      <c r="L9" s="77"/>
      <c r="M9" s="77"/>
      <c r="N9" s="77"/>
      <c r="O9" s="77"/>
      <c r="P9" s="77"/>
      <c r="Q9" s="77"/>
      <c r="R9" s="77"/>
      <c r="S9" s="77"/>
      <c r="T9" s="77"/>
      <c r="U9" s="18"/>
    </row>
    <row r="10" spans="1:21" ht="24.75" customHeight="1" x14ac:dyDescent="0.25">
      <c r="A10" s="61"/>
      <c r="B10" s="66" t="str">
        <f>+Probabilities!A21</f>
        <v>Rape / Coerced Sex</v>
      </c>
      <c r="C10" s="65">
        <f>+Probabilities!D21</f>
        <v>117700</v>
      </c>
      <c r="D10" s="65">
        <f t="shared" ref="D10:D16" si="0">+ROUND(C10*(1-E10),-2)</f>
        <v>1200</v>
      </c>
      <c r="E10" s="74">
        <v>0.99</v>
      </c>
      <c r="F10" s="77"/>
      <c r="G10" s="77"/>
      <c r="H10" s="77"/>
      <c r="I10" s="77"/>
      <c r="J10" s="77"/>
      <c r="K10" s="77"/>
      <c r="L10" s="77"/>
      <c r="M10" s="77"/>
      <c r="N10" s="77"/>
      <c r="O10" s="77"/>
      <c r="P10" s="77"/>
      <c r="Q10" s="77"/>
      <c r="R10" s="77"/>
      <c r="S10" s="77"/>
      <c r="T10" s="77"/>
      <c r="U10" s="18"/>
    </row>
    <row r="11" spans="1:21" ht="24.75" customHeight="1" x14ac:dyDescent="0.25">
      <c r="A11" s="61"/>
      <c r="B11" s="66" t="str">
        <f>+Probabilities!A22</f>
        <v>Kidnapping and extortion</v>
      </c>
      <c r="C11" s="65">
        <f>+Probabilities!D22</f>
        <v>25900</v>
      </c>
      <c r="D11" s="65">
        <f t="shared" si="0"/>
        <v>3900</v>
      </c>
      <c r="E11" s="74">
        <v>0.85</v>
      </c>
      <c r="F11" s="77"/>
      <c r="G11" s="77"/>
      <c r="H11" s="77"/>
      <c r="I11" s="77"/>
      <c r="J11" s="77"/>
      <c r="K11" s="77"/>
      <c r="L11" s="77"/>
      <c r="M11" s="77"/>
      <c r="N11" s="77"/>
      <c r="O11" s="77"/>
      <c r="P11" s="77"/>
      <c r="Q11" s="77"/>
      <c r="R11" s="77"/>
      <c r="S11" s="77"/>
      <c r="T11" s="77"/>
      <c r="U11" s="18"/>
    </row>
    <row r="12" spans="1:21" ht="24.75" customHeight="1" x14ac:dyDescent="0.25">
      <c r="A12" s="61"/>
      <c r="B12" s="66" t="str">
        <f>+Probabilities!A23</f>
        <v>Human trafficking</v>
      </c>
      <c r="C12" s="65">
        <f>+Probabilities!D23</f>
        <v>27300</v>
      </c>
      <c r="D12" s="65">
        <f t="shared" si="0"/>
        <v>4100</v>
      </c>
      <c r="E12" s="74">
        <v>0.85</v>
      </c>
      <c r="F12" s="77"/>
      <c r="G12" s="77"/>
      <c r="H12" s="77"/>
      <c r="I12" s="77"/>
      <c r="J12" s="77"/>
      <c r="K12" s="77"/>
      <c r="L12" s="77"/>
      <c r="M12" s="77"/>
      <c r="N12" s="77"/>
      <c r="O12" s="77"/>
      <c r="P12" s="77"/>
      <c r="Q12" s="77"/>
      <c r="R12" s="77"/>
      <c r="S12" s="77"/>
      <c r="T12" s="77"/>
      <c r="U12" s="18"/>
    </row>
    <row r="13" spans="1:21" ht="24.75" customHeight="1" x14ac:dyDescent="0.25">
      <c r="A13" s="61"/>
      <c r="B13" s="66" t="str">
        <f>+Probabilities!A24</f>
        <v>Assault / Robbery</v>
      </c>
      <c r="C13" s="65">
        <f>+Probabilities!D24</f>
        <v>138300</v>
      </c>
      <c r="D13" s="65">
        <f t="shared" si="0"/>
        <v>20700</v>
      </c>
      <c r="E13" s="74">
        <v>0.85</v>
      </c>
      <c r="F13" s="77"/>
      <c r="G13" s="77"/>
      <c r="H13" s="77"/>
      <c r="I13" s="77"/>
      <c r="J13" s="77"/>
      <c r="K13" s="77"/>
      <c r="L13" s="77"/>
      <c r="M13" s="77"/>
      <c r="N13" s="77"/>
      <c r="O13" s="77"/>
      <c r="P13" s="77"/>
      <c r="Q13" s="77"/>
      <c r="R13" s="77"/>
      <c r="S13" s="77"/>
      <c r="T13" s="77"/>
      <c r="U13" s="18"/>
    </row>
    <row r="14" spans="1:21" ht="24.75" customHeight="1" x14ac:dyDescent="0.25">
      <c r="A14" s="61"/>
      <c r="B14" s="66" t="str">
        <f>+Probabilities!A25</f>
        <v>Drug Smuggling</v>
      </c>
      <c r="C14" s="65">
        <f>+Probabilities!D25</f>
        <v>81200</v>
      </c>
      <c r="D14" s="65">
        <f t="shared" si="0"/>
        <v>1600</v>
      </c>
      <c r="E14" s="74">
        <v>0.98</v>
      </c>
      <c r="F14" s="77"/>
      <c r="G14" s="77"/>
      <c r="H14" s="77"/>
      <c r="I14" s="77"/>
      <c r="J14" s="77"/>
      <c r="K14" s="77"/>
      <c r="L14" s="77"/>
      <c r="M14" s="77"/>
      <c r="N14" s="77"/>
      <c r="O14" s="77"/>
      <c r="P14" s="77"/>
      <c r="Q14" s="77"/>
      <c r="R14" s="77"/>
      <c r="S14" s="77"/>
      <c r="T14" s="77"/>
      <c r="U14" s="18"/>
    </row>
    <row r="15" spans="1:21" ht="24.75" customHeight="1" x14ac:dyDescent="0.25">
      <c r="A15" s="61"/>
      <c r="B15" s="66" t="str">
        <f>+Probabilities!A27</f>
        <v>Extended Incarceration</v>
      </c>
      <c r="C15" s="65">
        <f>+Probabilities!D27</f>
        <v>75700</v>
      </c>
      <c r="D15" s="65">
        <f t="shared" si="0"/>
        <v>1500</v>
      </c>
      <c r="E15" s="74">
        <f>+E14</f>
        <v>0.98</v>
      </c>
      <c r="F15" s="77"/>
      <c r="G15" s="77"/>
      <c r="H15" s="77"/>
      <c r="I15" s="77"/>
      <c r="J15" s="77"/>
      <c r="K15" s="77"/>
      <c r="L15" s="77"/>
      <c r="M15" s="77"/>
      <c r="N15" s="77"/>
      <c r="O15" s="77"/>
      <c r="P15" s="77"/>
      <c r="Q15" s="77"/>
      <c r="R15" s="77"/>
      <c r="S15" s="77"/>
      <c r="T15" s="77"/>
      <c r="U15" s="18"/>
    </row>
    <row r="16" spans="1:21" ht="24.75" customHeight="1" x14ac:dyDescent="0.25">
      <c r="A16" s="61"/>
      <c r="B16" s="66" t="str">
        <f>+Probabilities!A30</f>
        <v>Abandoned Trip</v>
      </c>
      <c r="C16" s="65">
        <f>+Probabilities!D30</f>
        <v>101700</v>
      </c>
      <c r="D16" s="65">
        <f t="shared" si="0"/>
        <v>500</v>
      </c>
      <c r="E16" s="74">
        <v>0.99480000000000002</v>
      </c>
      <c r="F16" s="77"/>
      <c r="G16" s="77"/>
      <c r="H16" s="77"/>
      <c r="I16" s="77"/>
      <c r="J16" s="77"/>
      <c r="K16" s="77"/>
      <c r="L16" s="77"/>
      <c r="M16" s="77"/>
      <c r="N16" s="77"/>
      <c r="O16" s="77"/>
      <c r="P16" s="77"/>
      <c r="Q16" s="77"/>
      <c r="R16" s="77"/>
      <c r="S16" s="77"/>
      <c r="T16" s="77"/>
      <c r="U16" s="18"/>
    </row>
    <row r="17" spans="1:21" s="22" customFormat="1" ht="29.25" customHeight="1" x14ac:dyDescent="0.25">
      <c r="A17" s="62"/>
      <c r="B17" s="67" t="s">
        <v>231</v>
      </c>
      <c r="C17" s="73">
        <f>SUM(C9:C16)</f>
        <v>570000</v>
      </c>
      <c r="D17" s="73">
        <f>SUM(D9:D16)</f>
        <v>33700</v>
      </c>
      <c r="E17" s="75">
        <f>1-(D17/C17)</f>
        <v>0.94087719298245609</v>
      </c>
      <c r="F17" s="78"/>
      <c r="G17" s="78"/>
      <c r="H17" s="78"/>
      <c r="I17" s="78"/>
      <c r="J17" s="78"/>
      <c r="K17" s="78"/>
      <c r="L17" s="78"/>
      <c r="M17" s="78"/>
      <c r="N17" s="78"/>
      <c r="O17" s="78"/>
      <c r="P17" s="78"/>
      <c r="Q17" s="78"/>
      <c r="R17" s="78"/>
      <c r="S17" s="78"/>
      <c r="T17" s="78"/>
      <c r="U17" s="57"/>
    </row>
    <row r="18" spans="1:21" x14ac:dyDescent="0.25">
      <c r="A18" s="18"/>
      <c r="B18" s="26"/>
      <c r="C18" s="26"/>
      <c r="D18" s="26"/>
      <c r="E18" s="26"/>
      <c r="F18" s="77"/>
      <c r="G18" s="77"/>
      <c r="H18" s="77"/>
      <c r="I18" s="77"/>
      <c r="J18" s="77"/>
      <c r="K18" s="77"/>
      <c r="L18" s="77"/>
      <c r="M18" s="77"/>
      <c r="N18" s="77"/>
      <c r="O18" s="77"/>
      <c r="P18" s="77"/>
      <c r="Q18" s="77"/>
      <c r="R18" s="77"/>
      <c r="S18" s="77"/>
      <c r="T18" s="77"/>
      <c r="U18" s="18"/>
    </row>
    <row r="19" spans="1:21" x14ac:dyDescent="0.25">
      <c r="A19" s="18"/>
      <c r="B19" s="26"/>
      <c r="C19" s="26"/>
      <c r="D19" s="26"/>
      <c r="E19" s="26"/>
      <c r="F19" s="77"/>
      <c r="G19" s="77"/>
      <c r="H19" s="77"/>
      <c r="I19" s="77"/>
      <c r="J19" s="77"/>
      <c r="K19" s="77"/>
      <c r="L19" s="77"/>
      <c r="M19" s="77"/>
      <c r="N19" s="77"/>
      <c r="O19" s="77"/>
      <c r="P19" s="77"/>
      <c r="Q19" s="77"/>
      <c r="R19" s="77"/>
      <c r="S19" s="77"/>
      <c r="T19" s="77"/>
      <c r="U19" s="18"/>
    </row>
    <row r="20" spans="1:21" ht="30" x14ac:dyDescent="0.25">
      <c r="A20" s="18"/>
      <c r="B20" s="76" t="s">
        <v>377</v>
      </c>
      <c r="C20" s="26"/>
      <c r="D20" s="26"/>
      <c r="E20" s="26"/>
      <c r="F20" s="77"/>
      <c r="G20" s="77"/>
      <c r="H20" s="77"/>
      <c r="I20" s="77"/>
      <c r="J20" s="77"/>
      <c r="K20" s="77"/>
      <c r="L20" s="77"/>
      <c r="M20" s="77"/>
      <c r="N20" s="77"/>
      <c r="O20" s="77"/>
      <c r="P20" s="77"/>
      <c r="Q20" s="77"/>
      <c r="R20" s="77"/>
      <c r="S20" s="77"/>
      <c r="T20" s="77"/>
      <c r="U20" s="18"/>
    </row>
    <row r="21" spans="1:21" x14ac:dyDescent="0.25">
      <c r="A21" s="18"/>
      <c r="B21" s="26"/>
      <c r="C21" s="26"/>
      <c r="D21" s="26"/>
      <c r="E21" s="26"/>
      <c r="F21" s="77"/>
      <c r="G21" s="77"/>
      <c r="H21" s="77"/>
      <c r="I21" s="77"/>
      <c r="J21" s="77"/>
      <c r="K21" s="77"/>
      <c r="L21" s="77"/>
      <c r="M21" s="77"/>
      <c r="N21" s="77"/>
      <c r="O21" s="77"/>
      <c r="P21" s="77"/>
      <c r="Q21" s="77"/>
      <c r="R21" s="77"/>
      <c r="S21" s="77"/>
      <c r="T21" s="77"/>
      <c r="U21" s="18"/>
    </row>
    <row r="22" spans="1:21" x14ac:dyDescent="0.25">
      <c r="A22" s="18"/>
      <c r="B22" s="26"/>
      <c r="C22" s="26"/>
      <c r="D22" s="26"/>
      <c r="E22" s="26"/>
      <c r="F22" s="77"/>
      <c r="G22" s="77"/>
      <c r="H22" s="77"/>
      <c r="I22" s="77"/>
      <c r="J22" s="77"/>
      <c r="K22" s="77"/>
      <c r="L22" s="77"/>
      <c r="M22" s="77"/>
      <c r="N22" s="77"/>
      <c r="O22" s="77"/>
      <c r="P22" s="77"/>
      <c r="Q22" s="77"/>
      <c r="R22" s="77"/>
      <c r="S22" s="77"/>
      <c r="T22" s="77"/>
      <c r="U22" s="18"/>
    </row>
    <row r="23" spans="1:21" x14ac:dyDescent="0.25">
      <c r="A23" s="18"/>
      <c r="B23" s="26"/>
      <c r="C23" s="26"/>
      <c r="D23" s="26"/>
      <c r="E23" s="26"/>
      <c r="F23" s="77"/>
      <c r="G23" s="77"/>
      <c r="H23" s="77"/>
      <c r="I23" s="77"/>
      <c r="J23" s="77"/>
      <c r="K23" s="77"/>
      <c r="L23" s="77"/>
      <c r="M23" s="77"/>
      <c r="N23" s="77"/>
      <c r="O23" s="77"/>
      <c r="P23" s="77"/>
      <c r="Q23" s="77"/>
      <c r="R23" s="77"/>
      <c r="S23" s="77"/>
      <c r="T23" s="77"/>
      <c r="U23" s="18"/>
    </row>
    <row r="24" spans="1:21" x14ac:dyDescent="0.25">
      <c r="A24" s="18"/>
      <c r="B24" s="26"/>
      <c r="C24" s="26"/>
      <c r="D24" s="26"/>
      <c r="E24" s="26"/>
      <c r="F24" s="77"/>
      <c r="G24" s="77"/>
      <c r="H24" s="77"/>
      <c r="I24" s="77"/>
      <c r="J24" s="77"/>
      <c r="K24" s="77"/>
      <c r="L24" s="77"/>
      <c r="M24" s="77"/>
      <c r="N24" s="77"/>
      <c r="O24" s="77"/>
      <c r="P24" s="77"/>
      <c r="Q24" s="77"/>
      <c r="R24" s="77"/>
      <c r="S24" s="77"/>
      <c r="T24" s="77"/>
      <c r="U24" s="18"/>
    </row>
    <row r="25" spans="1:21" x14ac:dyDescent="0.25">
      <c r="A25" s="18"/>
      <c r="B25" s="26"/>
      <c r="C25" s="26"/>
      <c r="D25" s="26"/>
      <c r="E25" s="26"/>
      <c r="F25" s="77"/>
      <c r="G25" s="77"/>
      <c r="H25" s="77"/>
      <c r="I25" s="77"/>
      <c r="J25" s="77"/>
      <c r="K25" s="77"/>
      <c r="L25" s="77"/>
      <c r="M25" s="77"/>
      <c r="N25" s="77"/>
      <c r="O25" s="77"/>
      <c r="P25" s="77"/>
      <c r="Q25" s="77"/>
      <c r="R25" s="77"/>
      <c r="S25" s="77"/>
      <c r="T25" s="77"/>
      <c r="U25" s="18"/>
    </row>
    <row r="26" spans="1:21" x14ac:dyDescent="0.25">
      <c r="A26" s="18"/>
      <c r="B26" s="26"/>
      <c r="C26" s="26"/>
      <c r="D26" s="26"/>
      <c r="E26" s="26"/>
      <c r="F26" s="77"/>
      <c r="G26" s="77"/>
      <c r="H26" s="77"/>
      <c r="I26" s="77"/>
      <c r="J26" s="77"/>
      <c r="K26" s="77"/>
      <c r="L26" s="77"/>
      <c r="M26" s="77"/>
      <c r="N26" s="77"/>
      <c r="O26" s="77"/>
      <c r="P26" s="77"/>
      <c r="Q26" s="77"/>
      <c r="R26" s="77"/>
      <c r="S26" s="77"/>
      <c r="T26" s="77"/>
      <c r="U26" s="18"/>
    </row>
    <row r="27" spans="1:21" x14ac:dyDescent="0.25">
      <c r="C27" s="1"/>
      <c r="D27" s="1"/>
      <c r="E27" s="1"/>
      <c r="F27" s="77"/>
      <c r="G27" s="77"/>
      <c r="H27" s="77"/>
      <c r="I27" s="77"/>
      <c r="J27" s="77"/>
      <c r="K27" s="77"/>
      <c r="L27" s="77"/>
      <c r="M27" s="77"/>
      <c r="N27" s="77"/>
      <c r="O27" s="77"/>
      <c r="P27" s="77"/>
      <c r="Q27" s="77"/>
      <c r="R27" s="77"/>
      <c r="S27" s="77"/>
      <c r="T27" s="77"/>
    </row>
    <row r="28" spans="1:21" x14ac:dyDescent="0.25">
      <c r="C28" s="1"/>
      <c r="D28" s="1"/>
      <c r="E28" s="1"/>
    </row>
    <row r="38" spans="21:22" x14ac:dyDescent="0.25">
      <c r="U38">
        <v>448000</v>
      </c>
      <c r="V38">
        <v>421295</v>
      </c>
    </row>
    <row r="39" spans="21:22" x14ac:dyDescent="0.25">
      <c r="U39" s="12">
        <f>+U38/3</f>
        <v>149333.33333333334</v>
      </c>
      <c r="V39" s="12">
        <f>+V38/3</f>
        <v>140431.66666666666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38"/>
  <sheetViews>
    <sheetView workbookViewId="0">
      <selection activeCell="O26" sqref="O26"/>
    </sheetView>
  </sheetViews>
  <sheetFormatPr defaultRowHeight="15" x14ac:dyDescent="0.25"/>
  <cols>
    <col min="1" max="1" width="29.7109375" style="95" customWidth="1"/>
    <col min="2" max="2" width="11.85546875" customWidth="1"/>
    <col min="3" max="3" width="17" customWidth="1"/>
    <col min="4" max="4" width="11.28515625" customWidth="1"/>
    <col min="5" max="5" width="13.5703125" customWidth="1"/>
    <col min="6" max="6" width="15.85546875" customWidth="1"/>
    <col min="7" max="7" width="13.85546875" customWidth="1"/>
  </cols>
  <sheetData>
    <row r="1" spans="1:11" ht="24" customHeight="1" x14ac:dyDescent="0.25">
      <c r="A1" s="124" t="s">
        <v>414</v>
      </c>
      <c r="B1" s="18"/>
      <c r="C1" s="18"/>
      <c r="D1" s="18"/>
      <c r="E1" s="18"/>
      <c r="F1" s="18"/>
      <c r="G1" s="18"/>
      <c r="H1" s="18"/>
      <c r="I1" s="18"/>
      <c r="J1" s="18"/>
      <c r="K1" s="18"/>
    </row>
    <row r="2" spans="1:11" s="22" customFormat="1" x14ac:dyDescent="0.25">
      <c r="A2" s="93"/>
      <c r="B2" s="84"/>
      <c r="C2" s="84"/>
      <c r="D2" s="84"/>
      <c r="E2" s="84"/>
      <c r="F2" s="84"/>
      <c r="G2" s="84"/>
      <c r="H2" s="57"/>
      <c r="I2" s="57"/>
      <c r="J2" s="57"/>
      <c r="K2" s="57"/>
    </row>
    <row r="3" spans="1:11" s="22" customFormat="1" x14ac:dyDescent="0.25">
      <c r="A3" s="93"/>
      <c r="B3" s="57"/>
      <c r="C3" s="57"/>
      <c r="D3" s="57"/>
      <c r="E3" s="57"/>
      <c r="F3" s="57"/>
      <c r="G3" s="57"/>
      <c r="H3" s="57"/>
      <c r="I3" s="57"/>
      <c r="J3" s="57"/>
      <c r="K3" s="57"/>
    </row>
    <row r="4" spans="1:11" s="22" customFormat="1" ht="45" x14ac:dyDescent="0.25">
      <c r="A4" s="93"/>
      <c r="B4" s="83" t="s">
        <v>413</v>
      </c>
      <c r="C4" s="83" t="s">
        <v>420</v>
      </c>
      <c r="D4" s="83" t="s">
        <v>416</v>
      </c>
      <c r="E4" s="83" t="s">
        <v>401</v>
      </c>
      <c r="F4" s="83" t="s">
        <v>417</v>
      </c>
      <c r="G4" s="83" t="s">
        <v>409</v>
      </c>
      <c r="H4" s="57"/>
      <c r="I4" s="57"/>
      <c r="J4" s="57"/>
      <c r="K4" s="57"/>
    </row>
    <row r="5" spans="1:11" s="22" customFormat="1" ht="6.75" customHeight="1" x14ac:dyDescent="0.25">
      <c r="A5" s="93"/>
      <c r="B5" s="114" t="s">
        <v>412</v>
      </c>
      <c r="C5" s="114" t="s">
        <v>412</v>
      </c>
      <c r="D5" s="114"/>
      <c r="E5" s="114"/>
      <c r="F5" s="114" t="s">
        <v>412</v>
      </c>
      <c r="G5" s="114" t="s">
        <v>412</v>
      </c>
      <c r="H5" s="57"/>
      <c r="I5" s="57"/>
      <c r="J5" s="57"/>
      <c r="K5" s="57"/>
    </row>
    <row r="6" spans="1:11" s="22" customFormat="1" ht="6.75" customHeight="1" x14ac:dyDescent="0.25">
      <c r="A6" s="93"/>
      <c r="B6" s="117"/>
      <c r="C6" s="117"/>
      <c r="D6" s="117"/>
      <c r="E6" s="117"/>
      <c r="F6" s="117"/>
      <c r="G6" s="117"/>
      <c r="H6" s="57"/>
      <c r="I6" s="57"/>
      <c r="J6" s="57"/>
      <c r="K6" s="57"/>
    </row>
    <row r="7" spans="1:11" s="22" customFormat="1" ht="17.25" customHeight="1" x14ac:dyDescent="0.25">
      <c r="A7" s="94" t="s">
        <v>419</v>
      </c>
      <c r="B7" s="57"/>
      <c r="C7" s="93"/>
      <c r="D7" s="93"/>
      <c r="E7" s="93"/>
      <c r="F7" s="84">
        <v>600</v>
      </c>
      <c r="G7" s="86">
        <f>+F7/$F$18</f>
        <v>4.8472392685850907E-2</v>
      </c>
      <c r="H7" s="57"/>
      <c r="I7" s="57"/>
      <c r="J7" s="57"/>
      <c r="K7" s="57"/>
    </row>
    <row r="8" spans="1:11" s="22" customFormat="1" ht="17.25" customHeight="1" x14ac:dyDescent="0.25">
      <c r="A8" s="94" t="s">
        <v>407</v>
      </c>
      <c r="B8" s="57"/>
      <c r="C8" s="93">
        <v>0.4</v>
      </c>
      <c r="D8" s="93"/>
      <c r="E8" s="93">
        <v>0.8</v>
      </c>
      <c r="F8" s="84">
        <f>3000*E8</f>
        <v>2400</v>
      </c>
      <c r="G8" s="86">
        <f>+F8/$F$18</f>
        <v>0.19388957074340363</v>
      </c>
      <c r="H8" s="57"/>
      <c r="I8" s="57"/>
      <c r="J8" s="57"/>
      <c r="K8" s="57"/>
    </row>
    <row r="9" spans="1:11" s="22" customFormat="1" ht="17.25" customHeight="1" x14ac:dyDescent="0.25">
      <c r="A9" s="94" t="s">
        <v>408</v>
      </c>
      <c r="B9" s="104">
        <v>0.54</v>
      </c>
      <c r="C9" s="103">
        <v>1</v>
      </c>
      <c r="D9" s="103"/>
      <c r="E9" s="103"/>
      <c r="F9" s="84">
        <f>+F8*C9/C8*B9</f>
        <v>3240</v>
      </c>
      <c r="G9" s="86">
        <f>+F9/$F$18</f>
        <v>0.26175092050359489</v>
      </c>
      <c r="H9" s="57"/>
      <c r="I9" s="57"/>
      <c r="J9" s="57"/>
      <c r="K9" s="57"/>
    </row>
    <row r="10" spans="1:11" s="22" customFormat="1" ht="17.25" customHeight="1" x14ac:dyDescent="0.25">
      <c r="A10" s="94" t="s">
        <v>17</v>
      </c>
      <c r="B10" s="104">
        <f>+Probabilities!B8</f>
        <v>3.0000000000000001E-3</v>
      </c>
      <c r="C10" s="103">
        <v>50</v>
      </c>
      <c r="D10" s="103"/>
      <c r="E10" s="103"/>
      <c r="F10" s="84">
        <f>+$F$9*C10/$C$9*B10</f>
        <v>486</v>
      </c>
      <c r="G10" s="86">
        <f>+F10/$F$18</f>
        <v>3.9262638075539237E-2</v>
      </c>
      <c r="H10" s="57"/>
      <c r="I10" s="57"/>
      <c r="J10" s="57"/>
      <c r="K10" s="57"/>
    </row>
    <row r="11" spans="1:11" s="22" customFormat="1" ht="17.25" customHeight="1" x14ac:dyDescent="0.25">
      <c r="A11" s="94" t="s">
        <v>405</v>
      </c>
      <c r="B11" s="104">
        <f>+Probabilities!B9</f>
        <v>0.6</v>
      </c>
      <c r="C11" s="103">
        <v>1.6666666000000001</v>
      </c>
      <c r="D11" s="84">
        <f>+$F$9*C11/$C$9*B11</f>
        <v>3239.9998704000004</v>
      </c>
      <c r="E11" s="93">
        <v>0.27</v>
      </c>
      <c r="F11" s="84">
        <f>+E11*D11</f>
        <v>874.79996500800019</v>
      </c>
      <c r="G11" s="86">
        <f>+D11/$F$18</f>
        <v>0.2617509100335581</v>
      </c>
      <c r="H11" s="57"/>
      <c r="I11" s="57"/>
      <c r="J11" s="57"/>
      <c r="K11" s="57"/>
    </row>
    <row r="12" spans="1:11" s="22" customFormat="1" ht="17.25" customHeight="1" x14ac:dyDescent="0.25">
      <c r="A12" s="94" t="s">
        <v>311</v>
      </c>
      <c r="B12" s="104">
        <f>+Probabilities!B10</f>
        <v>0.03</v>
      </c>
      <c r="C12" s="103">
        <v>10</v>
      </c>
      <c r="D12" s="103"/>
      <c r="E12" s="103"/>
      <c r="F12" s="84">
        <f>+$F$9*C12/$C$9*B12</f>
        <v>972</v>
      </c>
      <c r="G12" s="86">
        <f>+F12/$F$18</f>
        <v>7.8525276151078474E-2</v>
      </c>
      <c r="H12" s="57"/>
      <c r="I12" s="57"/>
      <c r="J12" s="57"/>
      <c r="K12" s="57"/>
    </row>
    <row r="13" spans="1:11" s="22" customFormat="1" ht="17.25" customHeight="1" x14ac:dyDescent="0.25">
      <c r="A13" s="94" t="s">
        <v>312</v>
      </c>
      <c r="B13" s="104">
        <f>+Probabilities!B11</f>
        <v>3.5000000000000003E-2</v>
      </c>
      <c r="C13" s="103">
        <v>5</v>
      </c>
      <c r="D13" s="103"/>
      <c r="E13" s="103"/>
      <c r="F13" s="84">
        <f>+$F$9*C13/$C$9*B13</f>
        <v>567</v>
      </c>
      <c r="G13" s="86">
        <f>+F13/$F$18</f>
        <v>4.5806411088129106E-2</v>
      </c>
      <c r="H13" s="57"/>
      <c r="I13" s="57"/>
      <c r="J13" s="57"/>
      <c r="K13" s="57"/>
    </row>
    <row r="14" spans="1:11" s="22" customFormat="1" ht="17.25" customHeight="1" x14ac:dyDescent="0.25">
      <c r="A14" s="94" t="s">
        <v>402</v>
      </c>
      <c r="B14" s="104">
        <f>+Probabilities!B12</f>
        <v>0.2</v>
      </c>
      <c r="C14" s="103">
        <v>0.3</v>
      </c>
      <c r="D14" s="103"/>
      <c r="E14" s="103"/>
      <c r="F14" s="84">
        <f>+$F$9*C14/$C$9*B14</f>
        <v>194.4</v>
      </c>
      <c r="G14" s="86">
        <f>+F14/$F$18</f>
        <v>1.5705055230215696E-2</v>
      </c>
      <c r="H14" s="57"/>
      <c r="I14" s="57"/>
      <c r="J14" s="57"/>
      <c r="K14" s="57"/>
    </row>
    <row r="15" spans="1:11" s="22" customFormat="1" ht="17.25" customHeight="1" x14ac:dyDescent="0.25">
      <c r="A15" s="116" t="s">
        <v>320</v>
      </c>
      <c r="B15" s="104">
        <f>+Probabilities!B13</f>
        <v>0.15</v>
      </c>
      <c r="C15" s="103">
        <v>1</v>
      </c>
      <c r="D15" s="84">
        <f>+$F$9*C15/$C$9*B15</f>
        <v>486</v>
      </c>
      <c r="E15" s="93">
        <v>0.73</v>
      </c>
      <c r="F15" s="84">
        <f t="shared" ref="F15:F16" si="0">+E15*D15</f>
        <v>354.78</v>
      </c>
      <c r="G15" s="86">
        <f>+D15/$F$18</f>
        <v>3.9262638075539237E-2</v>
      </c>
      <c r="H15" s="57"/>
      <c r="I15" s="57"/>
      <c r="J15" s="57"/>
      <c r="K15" s="57"/>
    </row>
    <row r="16" spans="1:11" s="22" customFormat="1" ht="17.25" customHeight="1" x14ac:dyDescent="0.25">
      <c r="A16" s="116" t="s">
        <v>340</v>
      </c>
      <c r="B16" s="104">
        <f>+Probabilities!B15</f>
        <v>0.1</v>
      </c>
      <c r="C16" s="103">
        <v>10</v>
      </c>
      <c r="D16" s="84">
        <f>+$F$9*C16/$C$9*B16</f>
        <v>3240</v>
      </c>
      <c r="E16" s="93">
        <f>+E15</f>
        <v>0.73</v>
      </c>
      <c r="F16" s="84">
        <f t="shared" si="0"/>
        <v>2365.1999999999998</v>
      </c>
      <c r="G16" s="86">
        <f>+D16/$F$18</f>
        <v>0.26175092050359489</v>
      </c>
      <c r="H16" s="57"/>
      <c r="I16" s="57"/>
      <c r="J16" s="57"/>
      <c r="K16" s="57"/>
    </row>
    <row r="17" spans="1:11" s="22" customFormat="1" ht="17.25" customHeight="1" x14ac:dyDescent="0.25">
      <c r="A17" s="94" t="s">
        <v>418</v>
      </c>
      <c r="B17" s="104">
        <f>+Probabilities!B16</f>
        <v>0.1</v>
      </c>
      <c r="C17" s="103">
        <v>1</v>
      </c>
      <c r="D17" s="103"/>
      <c r="E17" s="103"/>
      <c r="F17" s="91">
        <f>+$F$9*C17/$C$9*B17</f>
        <v>324</v>
      </c>
      <c r="G17" s="109">
        <f>+F17/$F$18</f>
        <v>2.6175092050359491E-2</v>
      </c>
      <c r="H17" s="57"/>
      <c r="I17" s="57"/>
      <c r="J17" s="57"/>
      <c r="K17" s="57"/>
    </row>
    <row r="18" spans="1:11" s="22" customFormat="1" ht="21" customHeight="1" x14ac:dyDescent="0.25">
      <c r="A18" s="105" t="s">
        <v>415</v>
      </c>
      <c r="B18" s="106"/>
      <c r="C18" s="107"/>
      <c r="D18" s="107"/>
      <c r="E18" s="107"/>
      <c r="F18" s="108">
        <f>SUM(F7:F17)</f>
        <v>12378.179965007999</v>
      </c>
      <c r="G18" s="110">
        <f>+F18/$F$18</f>
        <v>1</v>
      </c>
      <c r="H18" s="57"/>
      <c r="I18" s="57"/>
      <c r="J18" s="57"/>
      <c r="K18" s="57"/>
    </row>
    <row r="19" spans="1:11" s="22" customFormat="1" ht="26.25" customHeight="1" x14ac:dyDescent="0.25">
      <c r="A19" s="93" t="s">
        <v>410</v>
      </c>
      <c r="B19" s="57"/>
      <c r="C19" s="57"/>
      <c r="D19" s="57"/>
      <c r="E19" s="57"/>
      <c r="F19" s="111">
        <v>25000</v>
      </c>
      <c r="G19" s="57"/>
      <c r="H19" s="57"/>
      <c r="I19" s="57"/>
      <c r="J19" s="57"/>
      <c r="K19" s="57"/>
    </row>
    <row r="20" spans="1:11" s="22" customFormat="1" ht="26.25" customHeight="1" x14ac:dyDescent="0.25">
      <c r="A20" s="113" t="s">
        <v>411</v>
      </c>
      <c r="B20" s="96"/>
      <c r="C20" s="96"/>
      <c r="D20" s="96"/>
      <c r="E20" s="96"/>
      <c r="F20" s="112">
        <f>+F18/F19*12</f>
        <v>5.9415263832038399</v>
      </c>
      <c r="G20" s="57"/>
      <c r="H20" s="57"/>
      <c r="I20" s="57"/>
      <c r="J20" s="57"/>
      <c r="K20" s="57"/>
    </row>
    <row r="21" spans="1:11" s="22" customFormat="1" ht="21" customHeight="1" x14ac:dyDescent="0.25">
      <c r="A21" s="115"/>
      <c r="B21" s="93"/>
      <c r="C21" s="93"/>
      <c r="D21" s="93"/>
      <c r="E21" s="93"/>
      <c r="F21" s="93"/>
      <c r="G21" s="57"/>
      <c r="H21" s="57"/>
      <c r="I21" s="57"/>
      <c r="J21" s="57"/>
      <c r="K21" s="57"/>
    </row>
    <row r="22" spans="1:11" s="22" customFormat="1" ht="18.75" customHeight="1" x14ac:dyDescent="0.25">
      <c r="A22" s="94" t="str">
        <f>+A8</f>
        <v>Coyote Fee</v>
      </c>
      <c r="B22" s="84">
        <f>+F8</f>
        <v>2400</v>
      </c>
      <c r="C22" s="93"/>
      <c r="D22" s="93"/>
      <c r="E22" s="93"/>
      <c r="F22" s="93"/>
      <c r="G22" s="57"/>
      <c r="H22" s="57"/>
      <c r="I22" s="57"/>
      <c r="J22" s="57"/>
      <c r="K22" s="57"/>
    </row>
    <row r="23" spans="1:11" s="22" customFormat="1" ht="18.75" customHeight="1" x14ac:dyDescent="0.25">
      <c r="A23" s="94" t="str">
        <f>+A9</f>
        <v>Border Apprehension</v>
      </c>
      <c r="B23" s="84">
        <f t="shared" ref="B23" si="1">+F9</f>
        <v>3240</v>
      </c>
      <c r="C23" s="93"/>
      <c r="D23" s="93"/>
      <c r="E23" s="93"/>
      <c r="F23" s="93"/>
      <c r="G23" s="57"/>
      <c r="H23" s="57"/>
      <c r="I23" s="57"/>
      <c r="J23" s="57"/>
      <c r="K23" s="57"/>
    </row>
    <row r="24" spans="1:11" s="22" customFormat="1" ht="18.75" customHeight="1" x14ac:dyDescent="0.25">
      <c r="A24" s="116" t="str">
        <f>+A15</f>
        <v>Drug Smuggling</v>
      </c>
      <c r="B24" s="84">
        <f>+F15</f>
        <v>354.78</v>
      </c>
      <c r="C24" s="93"/>
      <c r="D24" s="93"/>
      <c r="E24" s="93"/>
      <c r="F24" s="93"/>
      <c r="G24" s="57"/>
      <c r="H24" s="57"/>
      <c r="I24" s="57"/>
      <c r="J24" s="57"/>
      <c r="K24" s="57"/>
    </row>
    <row r="25" spans="1:11" s="22" customFormat="1" ht="18.75" customHeight="1" x14ac:dyDescent="0.25">
      <c r="A25" s="116" t="str">
        <f>+A16</f>
        <v>Extended Incarceration</v>
      </c>
      <c r="B25" s="84">
        <f>+F16</f>
        <v>2365.1999999999998</v>
      </c>
      <c r="C25" s="93"/>
      <c r="D25" s="93"/>
      <c r="E25" s="93"/>
      <c r="F25" s="93"/>
      <c r="G25" s="57"/>
      <c r="H25" s="57"/>
      <c r="I25" s="57"/>
      <c r="J25" s="57"/>
      <c r="K25" s="57"/>
    </row>
    <row r="26" spans="1:11" s="22" customFormat="1" ht="18.75" customHeight="1" x14ac:dyDescent="0.25">
      <c r="A26" s="94" t="str">
        <f>+A11</f>
        <v>Rape / Coerced Sex</v>
      </c>
      <c r="B26" s="84">
        <f>+F11</f>
        <v>874.79996500800019</v>
      </c>
      <c r="C26" s="93"/>
      <c r="D26" s="93"/>
      <c r="E26" s="93"/>
      <c r="F26" s="93"/>
      <c r="G26" s="57"/>
      <c r="H26" s="57"/>
      <c r="I26" s="57"/>
      <c r="J26" s="57"/>
      <c r="K26" s="57"/>
    </row>
    <row r="27" spans="1:11" s="22" customFormat="1" ht="18.75" customHeight="1" x14ac:dyDescent="0.25">
      <c r="A27" s="94" t="str">
        <f>+A12</f>
        <v>Kidnapping and extortion</v>
      </c>
      <c r="B27" s="84">
        <f>+F12</f>
        <v>972</v>
      </c>
      <c r="C27" s="93"/>
      <c r="D27" s="93"/>
      <c r="E27" s="93"/>
      <c r="F27" s="93"/>
      <c r="G27" s="57"/>
      <c r="H27" s="57"/>
      <c r="I27" s="57"/>
      <c r="J27" s="57"/>
      <c r="K27" s="57"/>
    </row>
    <row r="28" spans="1:11" s="22" customFormat="1" ht="18.75" customHeight="1" x14ac:dyDescent="0.25">
      <c r="A28" s="94" t="str">
        <f>+A14</f>
        <v>Assault / Robbery</v>
      </c>
      <c r="B28" s="84">
        <f>+F14</f>
        <v>194.4</v>
      </c>
      <c r="C28" s="93"/>
      <c r="D28" s="93"/>
      <c r="E28" s="93"/>
      <c r="F28" s="93"/>
      <c r="G28" s="57"/>
      <c r="H28" s="57"/>
      <c r="I28" s="57"/>
      <c r="J28" s="57"/>
      <c r="K28" s="57"/>
    </row>
    <row r="29" spans="1:11" s="22" customFormat="1" ht="18.75" customHeight="1" x14ac:dyDescent="0.25">
      <c r="A29" s="94" t="str">
        <f>+A13</f>
        <v>Human trafficking</v>
      </c>
      <c r="B29" s="84">
        <f>+F13</f>
        <v>567</v>
      </c>
      <c r="C29" s="93"/>
      <c r="D29" s="93"/>
      <c r="E29" s="93"/>
      <c r="F29" s="93"/>
      <c r="G29" s="57"/>
      <c r="H29" s="57"/>
      <c r="I29" s="57"/>
      <c r="J29" s="57"/>
      <c r="K29" s="57"/>
    </row>
    <row r="30" spans="1:11" s="22" customFormat="1" ht="18.75" customHeight="1" x14ac:dyDescent="0.25">
      <c r="A30" s="94" t="str">
        <f>+A10</f>
        <v>Death</v>
      </c>
      <c r="B30" s="84">
        <f>+F10</f>
        <v>486</v>
      </c>
      <c r="C30" s="93"/>
      <c r="D30" s="93"/>
      <c r="E30" s="93"/>
      <c r="F30" s="93"/>
      <c r="G30" s="57"/>
      <c r="H30" s="57"/>
      <c r="I30" s="57"/>
      <c r="J30" s="57"/>
      <c r="K30" s="57"/>
    </row>
    <row r="31" spans="1:11" s="99" customFormat="1" ht="18.75" customHeight="1" x14ac:dyDescent="0.25">
      <c r="A31" s="94" t="str">
        <f>+A17</f>
        <v>Abandoned effort</v>
      </c>
      <c r="B31" s="84">
        <f>+F17</f>
        <v>324</v>
      </c>
      <c r="C31" s="93"/>
      <c r="D31" s="93"/>
      <c r="E31" s="93"/>
      <c r="F31" s="93"/>
      <c r="G31" s="98"/>
      <c r="H31" s="98"/>
      <c r="I31" s="98"/>
      <c r="J31" s="98"/>
      <c r="K31" s="98"/>
    </row>
    <row r="32" spans="1:11" x14ac:dyDescent="0.25">
      <c r="A32" s="93" t="str">
        <f>+A7</f>
        <v>Lost Wages / Trip Expenses</v>
      </c>
      <c r="B32" s="84">
        <f>+F7</f>
        <v>600</v>
      </c>
      <c r="C32" s="93"/>
      <c r="D32" s="18"/>
      <c r="E32" s="18"/>
      <c r="F32" s="18"/>
      <c r="G32" s="18"/>
      <c r="H32" s="18"/>
      <c r="I32" s="18"/>
      <c r="J32" s="18"/>
      <c r="K32" s="18"/>
    </row>
    <row r="33" spans="1:11" x14ac:dyDescent="0.25">
      <c r="A33" s="82"/>
      <c r="B33" s="18"/>
      <c r="C33" s="18"/>
      <c r="D33" s="18"/>
      <c r="E33" s="18"/>
      <c r="F33" s="18"/>
      <c r="G33" s="18"/>
      <c r="H33" s="18"/>
      <c r="I33" s="18"/>
      <c r="J33" s="18"/>
      <c r="K33" s="18"/>
    </row>
    <row r="34" spans="1:11" x14ac:dyDescent="0.25">
      <c r="A34" s="82"/>
      <c r="B34" s="18"/>
      <c r="C34" s="18"/>
      <c r="D34" s="18"/>
      <c r="E34" s="18"/>
      <c r="F34" s="18"/>
      <c r="G34" s="18"/>
      <c r="H34" s="18"/>
      <c r="I34" s="18"/>
      <c r="J34" s="18"/>
      <c r="K34" s="18"/>
    </row>
    <row r="35" spans="1:11" x14ac:dyDescent="0.25">
      <c r="A35" s="82"/>
      <c r="B35" s="18"/>
      <c r="C35" s="18"/>
      <c r="D35" s="18"/>
      <c r="E35" s="18"/>
      <c r="F35" s="18"/>
      <c r="G35" s="18"/>
      <c r="H35" s="18"/>
      <c r="I35" s="18"/>
      <c r="J35" s="18"/>
      <c r="K35" s="18"/>
    </row>
    <row r="36" spans="1:11" x14ac:dyDescent="0.25">
      <c r="A36" s="82"/>
      <c r="B36" s="18"/>
      <c r="C36" s="18"/>
      <c r="D36" s="18"/>
      <c r="E36" s="18"/>
      <c r="F36" s="18"/>
      <c r="G36" s="18"/>
      <c r="H36" s="18"/>
      <c r="I36" s="18"/>
      <c r="J36" s="18"/>
      <c r="K36" s="18"/>
    </row>
    <row r="37" spans="1:11" x14ac:dyDescent="0.25">
      <c r="A37" s="82"/>
      <c r="B37" s="18"/>
      <c r="C37" s="18"/>
      <c r="D37" s="18"/>
      <c r="E37" s="18"/>
      <c r="F37" s="18"/>
      <c r="G37" s="18"/>
      <c r="H37" s="18"/>
      <c r="I37" s="18"/>
      <c r="J37" s="18"/>
      <c r="K37" s="18"/>
    </row>
    <row r="38" spans="1:11" x14ac:dyDescent="0.25">
      <c r="A38" s="82"/>
      <c r="B38" s="18"/>
      <c r="C38" s="18"/>
      <c r="D38" s="18"/>
      <c r="E38" s="18"/>
      <c r="F38" s="18"/>
      <c r="G38" s="18"/>
      <c r="H38" s="18"/>
      <c r="I38" s="18"/>
      <c r="J38" s="18"/>
      <c r="K38" s="18"/>
    </row>
  </sheetData>
  <pageMargins left="0.7" right="0.7" top="0.75" bottom="0.75" header="0.3" footer="0.3"/>
  <pageSetup orientation="portrait" r:id="rId1"/>
  <ignoredErrors>
    <ignoredError sqref="F11"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3"/>
  <sheetViews>
    <sheetView workbookViewId="0">
      <selection sqref="A1:D1"/>
    </sheetView>
  </sheetViews>
  <sheetFormatPr defaultRowHeight="15" x14ac:dyDescent="0.25"/>
  <cols>
    <col min="1" max="1" width="52.7109375" customWidth="1"/>
    <col min="2" max="2" width="51.28515625" customWidth="1"/>
    <col min="3" max="3" width="65" customWidth="1"/>
    <col min="4" max="4" width="37" customWidth="1"/>
  </cols>
  <sheetData>
    <row r="1" spans="1:4" ht="23.25" x14ac:dyDescent="0.35">
      <c r="A1" s="129" t="s">
        <v>17</v>
      </c>
      <c r="B1" s="129"/>
      <c r="C1" s="129"/>
      <c r="D1" s="129"/>
    </row>
    <row r="2" spans="1:4" ht="60" customHeight="1" x14ac:dyDescent="0.25">
      <c r="A2" s="128" t="s">
        <v>348</v>
      </c>
      <c r="B2" s="128"/>
      <c r="C2" s="128"/>
      <c r="D2" s="128"/>
    </row>
    <row r="3" spans="1:4" ht="9" customHeight="1" x14ac:dyDescent="0.25">
      <c r="A3" s="18"/>
      <c r="B3" s="18"/>
      <c r="C3" s="18"/>
      <c r="D3" s="18"/>
    </row>
    <row r="4" spans="1:4" ht="18.75" x14ac:dyDescent="0.3">
      <c r="A4" s="8" t="s">
        <v>158</v>
      </c>
      <c r="B4" s="8" t="s">
        <v>160</v>
      </c>
      <c r="C4" s="8" t="s">
        <v>161</v>
      </c>
      <c r="D4" s="8" t="s">
        <v>27</v>
      </c>
    </row>
    <row r="5" spans="1:4" s="2" customFormat="1" ht="7.5" customHeight="1" x14ac:dyDescent="0.25">
      <c r="A5" s="41"/>
      <c r="B5" s="41"/>
      <c r="C5" s="41"/>
      <c r="D5" s="41"/>
    </row>
    <row r="6" spans="1:4" s="2" customFormat="1" ht="33" customHeight="1" x14ac:dyDescent="0.25">
      <c r="A6" s="42" t="s">
        <v>229</v>
      </c>
      <c r="B6" s="43"/>
      <c r="C6" s="44" t="s">
        <v>290</v>
      </c>
      <c r="D6" s="45" t="s">
        <v>230</v>
      </c>
    </row>
    <row r="7" spans="1:4" s="2" customFormat="1" ht="7.5" customHeight="1" x14ac:dyDescent="0.25">
      <c r="A7" s="41"/>
      <c r="B7" s="43"/>
      <c r="C7" s="41"/>
      <c r="D7" s="41"/>
    </row>
    <row r="8" spans="1:4" s="2" customFormat="1" ht="17.25" customHeight="1" x14ac:dyDescent="0.25">
      <c r="A8" s="46" t="s">
        <v>223</v>
      </c>
      <c r="B8" s="43"/>
      <c r="C8" s="43"/>
      <c r="D8" s="45"/>
    </row>
    <row r="9" spans="1:4" s="2" customFormat="1" ht="17.25" customHeight="1" x14ac:dyDescent="0.25">
      <c r="A9" s="41" t="s">
        <v>226</v>
      </c>
      <c r="B9" s="43"/>
      <c r="C9" s="43">
        <v>360</v>
      </c>
      <c r="D9" s="45" t="s">
        <v>221</v>
      </c>
    </row>
    <row r="10" spans="1:4" s="2" customFormat="1" ht="17.25" customHeight="1" x14ac:dyDescent="0.25">
      <c r="A10" s="41" t="s">
        <v>227</v>
      </c>
      <c r="B10" s="43"/>
      <c r="C10" s="47">
        <v>0.5</v>
      </c>
      <c r="D10" s="45" t="s">
        <v>215</v>
      </c>
    </row>
    <row r="11" spans="1:4" s="2" customFormat="1" ht="17.25" customHeight="1" x14ac:dyDescent="0.25">
      <c r="A11" s="41" t="s">
        <v>237</v>
      </c>
      <c r="B11" s="43"/>
      <c r="C11" s="47">
        <v>0.3</v>
      </c>
      <c r="D11" s="45" t="s">
        <v>232</v>
      </c>
    </row>
    <row r="12" spans="1:4" s="2" customFormat="1" ht="17.25" customHeight="1" x14ac:dyDescent="0.25">
      <c r="A12" s="46" t="s">
        <v>301</v>
      </c>
      <c r="B12" s="48"/>
      <c r="C12" s="48">
        <f>+ROUND(C9/(1-C10)+(1-C11),-2)</f>
        <v>700</v>
      </c>
      <c r="D12" s="45"/>
    </row>
    <row r="13" spans="1:4" s="2" customFormat="1" ht="17.25" customHeight="1" x14ac:dyDescent="0.25">
      <c r="A13" s="41" t="s">
        <v>236</v>
      </c>
      <c r="B13" s="43"/>
      <c r="C13" s="47">
        <v>0.3</v>
      </c>
      <c r="D13" s="45" t="s">
        <v>232</v>
      </c>
    </row>
    <row r="14" spans="1:4" s="2" customFormat="1" ht="17.25" customHeight="1" x14ac:dyDescent="0.25">
      <c r="A14" s="46" t="s">
        <v>228</v>
      </c>
      <c r="B14" s="48"/>
      <c r="C14" s="48">
        <f>+ROUND(C12/(1-C13),-2)</f>
        <v>1000</v>
      </c>
      <c r="D14" s="45"/>
    </row>
    <row r="15" spans="1:4" s="2" customFormat="1" ht="9.75" customHeight="1" x14ac:dyDescent="0.25">
      <c r="A15" s="41"/>
      <c r="B15" s="43"/>
      <c r="C15" s="43"/>
      <c r="D15" s="45"/>
    </row>
    <row r="16" spans="1:4" s="2" customFormat="1" ht="17.25" customHeight="1" x14ac:dyDescent="0.25">
      <c r="A16" s="46" t="s">
        <v>10</v>
      </c>
      <c r="B16" s="43" t="s">
        <v>199</v>
      </c>
      <c r="C16" s="43" t="s">
        <v>199</v>
      </c>
      <c r="D16" s="45"/>
    </row>
    <row r="17" spans="1:4" s="2" customFormat="1" ht="8.25" customHeight="1" x14ac:dyDescent="0.25">
      <c r="A17" s="41"/>
      <c r="B17" s="49"/>
      <c r="C17" s="41"/>
      <c r="D17" s="41"/>
    </row>
    <row r="18" spans="1:4" s="2" customFormat="1" ht="17.25" customHeight="1" x14ac:dyDescent="0.25">
      <c r="A18" s="46" t="s">
        <v>231</v>
      </c>
      <c r="B18" s="49"/>
      <c r="C18" s="41"/>
      <c r="D18" s="41"/>
    </row>
    <row r="19" spans="1:4" s="2" customFormat="1" ht="17.25" customHeight="1" x14ac:dyDescent="0.25">
      <c r="A19" s="41"/>
      <c r="B19" s="49"/>
      <c r="C19" s="43" t="s">
        <v>200</v>
      </c>
      <c r="D19" s="45" t="s">
        <v>26</v>
      </c>
    </row>
    <row r="20" spans="1:4" s="2" customFormat="1" ht="17.25" customHeight="1" x14ac:dyDescent="0.25">
      <c r="A20" s="46" t="s">
        <v>234</v>
      </c>
      <c r="B20" s="50">
        <v>2000</v>
      </c>
      <c r="C20" s="48">
        <v>3000</v>
      </c>
      <c r="D20" s="45" t="s">
        <v>233</v>
      </c>
    </row>
    <row r="21" spans="1:4" x14ac:dyDescent="0.25">
      <c r="A21" s="18"/>
      <c r="B21" s="18"/>
      <c r="C21" s="18"/>
      <c r="D21" s="18"/>
    </row>
    <row r="22" spans="1:4" ht="18.75" x14ac:dyDescent="0.3">
      <c r="A22" s="68" t="s">
        <v>276</v>
      </c>
      <c r="B22" s="68" t="s">
        <v>16</v>
      </c>
      <c r="C22" s="68" t="s">
        <v>22</v>
      </c>
      <c r="D22" s="68" t="s">
        <v>27</v>
      </c>
    </row>
    <row r="23" spans="1:4" ht="85.5" customHeight="1" x14ac:dyDescent="0.25">
      <c r="A23" s="69" t="s">
        <v>235</v>
      </c>
      <c r="B23" s="69" t="s">
        <v>224</v>
      </c>
      <c r="C23" s="69" t="s">
        <v>225</v>
      </c>
      <c r="D23" s="70" t="s">
        <v>221</v>
      </c>
    </row>
    <row r="24" spans="1:4" ht="85.5" customHeight="1" x14ac:dyDescent="0.25">
      <c r="A24" s="69" t="s">
        <v>429</v>
      </c>
      <c r="B24" s="69" t="s">
        <v>430</v>
      </c>
      <c r="C24" s="69" t="s">
        <v>431</v>
      </c>
      <c r="D24" s="70" t="s">
        <v>432</v>
      </c>
    </row>
    <row r="25" spans="1:4" ht="236.25" customHeight="1" x14ac:dyDescent="0.25">
      <c r="A25" s="69" t="s">
        <v>359</v>
      </c>
      <c r="B25" s="69" t="s">
        <v>218</v>
      </c>
      <c r="C25" s="69" t="s">
        <v>217</v>
      </c>
      <c r="D25" s="70" t="s">
        <v>215</v>
      </c>
    </row>
    <row r="26" spans="1:4" ht="220.5" customHeight="1" x14ac:dyDescent="0.25">
      <c r="A26" s="69" t="s">
        <v>360</v>
      </c>
      <c r="B26" s="69" t="s">
        <v>339</v>
      </c>
      <c r="C26" s="69" t="s">
        <v>25</v>
      </c>
      <c r="D26" s="70" t="s">
        <v>26</v>
      </c>
    </row>
    <row r="27" spans="1:4" ht="54" customHeight="1" x14ac:dyDescent="0.25">
      <c r="A27" s="69" t="s">
        <v>39</v>
      </c>
      <c r="B27" s="69" t="s">
        <v>40</v>
      </c>
      <c r="C27" s="69" t="s">
        <v>25</v>
      </c>
      <c r="D27" s="70" t="s">
        <v>26</v>
      </c>
    </row>
    <row r="28" spans="1:4" ht="45" x14ac:dyDescent="0.25">
      <c r="A28" s="69" t="s">
        <v>195</v>
      </c>
      <c r="B28" s="69" t="s">
        <v>41</v>
      </c>
      <c r="C28" s="69" t="s">
        <v>42</v>
      </c>
      <c r="D28" s="70" t="s">
        <v>26</v>
      </c>
    </row>
    <row r="29" spans="1:4" ht="30" x14ac:dyDescent="0.25">
      <c r="A29" s="69" t="s">
        <v>49</v>
      </c>
      <c r="B29" s="71">
        <v>0.21</v>
      </c>
      <c r="C29" s="69" t="s">
        <v>211</v>
      </c>
      <c r="D29" s="70" t="s">
        <v>144</v>
      </c>
    </row>
    <row r="30" spans="1:4" ht="45" x14ac:dyDescent="0.25">
      <c r="A30" s="69" t="s">
        <v>196</v>
      </c>
      <c r="B30" s="71">
        <v>0.08</v>
      </c>
      <c r="C30" s="69" t="s">
        <v>50</v>
      </c>
      <c r="D30" s="70" t="s">
        <v>197</v>
      </c>
    </row>
    <row r="31" spans="1:4" ht="30" x14ac:dyDescent="0.25">
      <c r="A31" s="69" t="s">
        <v>198</v>
      </c>
      <c r="B31" s="69" t="s">
        <v>212</v>
      </c>
      <c r="C31" s="69" t="s">
        <v>361</v>
      </c>
      <c r="D31" s="72"/>
    </row>
    <row r="32" spans="1:4" ht="30" x14ac:dyDescent="0.25">
      <c r="A32" s="69" t="s">
        <v>45</v>
      </c>
      <c r="B32" s="69" t="s">
        <v>46</v>
      </c>
      <c r="C32" s="69" t="s">
        <v>48</v>
      </c>
      <c r="D32" s="70" t="s">
        <v>47</v>
      </c>
    </row>
    <row r="33" spans="1:4" ht="60" x14ac:dyDescent="0.25">
      <c r="A33" s="69" t="s">
        <v>52</v>
      </c>
      <c r="B33" s="69" t="s">
        <v>213</v>
      </c>
      <c r="C33" s="69" t="s">
        <v>51</v>
      </c>
      <c r="D33" s="70" t="s">
        <v>214</v>
      </c>
    </row>
    <row r="34" spans="1:4" ht="30" x14ac:dyDescent="0.25">
      <c r="A34" s="69" t="s">
        <v>53</v>
      </c>
      <c r="B34" s="69" t="s">
        <v>54</v>
      </c>
      <c r="C34" s="69" t="s">
        <v>56</v>
      </c>
      <c r="D34" s="70" t="s">
        <v>55</v>
      </c>
    </row>
    <row r="35" spans="1:4" ht="135" x14ac:dyDescent="0.25">
      <c r="A35" s="69" t="s">
        <v>343</v>
      </c>
      <c r="B35" s="69" t="s">
        <v>344</v>
      </c>
      <c r="C35" s="69" t="s">
        <v>341</v>
      </c>
      <c r="D35" s="70" t="s">
        <v>342</v>
      </c>
    </row>
    <row r="36" spans="1:4" ht="120" x14ac:dyDescent="0.25">
      <c r="A36" s="69" t="s">
        <v>347</v>
      </c>
      <c r="B36" s="69" t="s">
        <v>362</v>
      </c>
      <c r="C36" s="69" t="s">
        <v>346</v>
      </c>
      <c r="D36" s="70" t="s">
        <v>345</v>
      </c>
    </row>
    <row r="37" spans="1:4" ht="105" x14ac:dyDescent="0.25">
      <c r="A37" s="69" t="s">
        <v>350</v>
      </c>
      <c r="B37" s="69" t="s">
        <v>352</v>
      </c>
      <c r="C37" s="69" t="s">
        <v>351</v>
      </c>
      <c r="D37" s="70" t="s">
        <v>349</v>
      </c>
    </row>
    <row r="61" spans="23:23" x14ac:dyDescent="0.25">
      <c r="W61">
        <v>110</v>
      </c>
    </row>
    <row r="62" spans="23:23" x14ac:dyDescent="0.25">
      <c r="W62">
        <v>1450</v>
      </c>
    </row>
    <row r="63" spans="23:23" x14ac:dyDescent="0.25">
      <c r="W63">
        <f>+W61/W62</f>
        <v>7.586206896551724E-2</v>
      </c>
    </row>
  </sheetData>
  <mergeCells count="2">
    <mergeCell ref="A2:D2"/>
    <mergeCell ref="A1:D1"/>
  </mergeCells>
  <hyperlinks>
    <hyperlink ref="D26" r:id="rId1"/>
    <hyperlink ref="D27" r:id="rId2"/>
    <hyperlink ref="D28" r:id="rId3"/>
    <hyperlink ref="D19" r:id="rId4"/>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32"/>
  <sheetViews>
    <sheetView workbookViewId="0">
      <selection activeCell="A31" sqref="A31"/>
    </sheetView>
  </sheetViews>
  <sheetFormatPr defaultRowHeight="15" x14ac:dyDescent="0.25"/>
  <cols>
    <col min="1" max="1" width="83.85546875" customWidth="1"/>
    <col min="2" max="2" width="45.140625" customWidth="1"/>
    <col min="3" max="3" width="29.42578125" customWidth="1"/>
    <col min="4" max="4" width="37" customWidth="1"/>
  </cols>
  <sheetData>
    <row r="1" spans="1:4" ht="23.25" x14ac:dyDescent="0.35">
      <c r="A1" s="28" t="s">
        <v>30</v>
      </c>
      <c r="B1" s="18"/>
      <c r="C1" s="18"/>
      <c r="D1" s="18"/>
    </row>
    <row r="2" spans="1:4" ht="23.25" customHeight="1" x14ac:dyDescent="0.25">
      <c r="A2" s="128" t="s">
        <v>31</v>
      </c>
      <c r="B2" s="128"/>
      <c r="C2" s="128"/>
      <c r="D2" s="128"/>
    </row>
    <row r="3" spans="1:4" ht="18.75" x14ac:dyDescent="0.3">
      <c r="A3" s="8" t="s">
        <v>158</v>
      </c>
      <c r="B3" s="8" t="s">
        <v>160</v>
      </c>
      <c r="C3" s="8" t="s">
        <v>161</v>
      </c>
      <c r="D3" s="8" t="s">
        <v>27</v>
      </c>
    </row>
    <row r="4" spans="1:4" s="2" customFormat="1" ht="17.25" customHeight="1" x14ac:dyDescent="0.25">
      <c r="A4" s="46" t="s">
        <v>203</v>
      </c>
      <c r="B4" s="51"/>
      <c r="C4" s="52"/>
      <c r="D4" s="45"/>
    </row>
    <row r="5" spans="1:4" s="2" customFormat="1" ht="14.25" customHeight="1" x14ac:dyDescent="0.25">
      <c r="A5" s="41" t="s">
        <v>204</v>
      </c>
      <c r="B5" s="51">
        <v>0.6</v>
      </c>
      <c r="C5" s="52" t="s">
        <v>170</v>
      </c>
      <c r="D5" s="45" t="s">
        <v>26</v>
      </c>
    </row>
    <row r="6" spans="1:4" s="2" customFormat="1" ht="14.25" customHeight="1" x14ac:dyDescent="0.25">
      <c r="A6" s="41" t="s">
        <v>238</v>
      </c>
      <c r="B6" s="41"/>
      <c r="C6" s="47">
        <f>80.8/303</f>
        <v>0.26666666666666666</v>
      </c>
      <c r="D6" s="45" t="s">
        <v>201</v>
      </c>
    </row>
    <row r="7" spans="1:4" s="2" customFormat="1" ht="14.25" customHeight="1" x14ac:dyDescent="0.25">
      <c r="A7" s="41" t="s">
        <v>205</v>
      </c>
      <c r="B7" s="41"/>
      <c r="C7" s="43">
        <v>400000</v>
      </c>
      <c r="D7" s="30" t="s">
        <v>202</v>
      </c>
    </row>
    <row r="8" spans="1:4" s="2" customFormat="1" ht="14.25" customHeight="1" x14ac:dyDescent="0.25">
      <c r="A8" s="41" t="s">
        <v>208</v>
      </c>
      <c r="B8" s="41"/>
      <c r="C8" s="51">
        <v>0.54</v>
      </c>
      <c r="D8" s="45" t="s">
        <v>296</v>
      </c>
    </row>
    <row r="9" spans="1:4" s="2" customFormat="1" ht="14.25" customHeight="1" x14ac:dyDescent="0.25">
      <c r="A9" s="41" t="s">
        <v>207</v>
      </c>
      <c r="B9" s="41"/>
      <c r="C9" s="43">
        <v>100000</v>
      </c>
      <c r="D9" s="45" t="s">
        <v>202</v>
      </c>
    </row>
    <row r="10" spans="1:4" s="2" customFormat="1" ht="17.25" customHeight="1" x14ac:dyDescent="0.25">
      <c r="A10" s="46" t="s">
        <v>210</v>
      </c>
      <c r="B10" s="50">
        <f>+C10</f>
        <v>119000</v>
      </c>
      <c r="C10" s="48">
        <f>+ROUND(B5*C6*C7/C8+C9*B60*B6, -3)</f>
        <v>119000</v>
      </c>
      <c r="D10" s="45"/>
    </row>
    <row r="11" spans="1:4" s="2" customFormat="1" ht="13.5" customHeight="1" x14ac:dyDescent="0.25">
      <c r="A11" s="53" t="s">
        <v>272</v>
      </c>
      <c r="B11" s="50"/>
      <c r="C11" s="54">
        <v>1.2</v>
      </c>
      <c r="D11" s="30" t="s">
        <v>160</v>
      </c>
    </row>
    <row r="12" spans="1:4" s="2" customFormat="1" ht="17.25" customHeight="1" x14ac:dyDescent="0.25">
      <c r="A12" s="46" t="s">
        <v>273</v>
      </c>
      <c r="B12" s="50"/>
      <c r="C12" s="48">
        <f>++ROUND(C11*C10,-3)</f>
        <v>143000</v>
      </c>
      <c r="D12" s="45"/>
    </row>
    <row r="13" spans="1:4" s="2" customFormat="1" ht="8.25" customHeight="1" x14ac:dyDescent="0.25">
      <c r="A13" s="41"/>
      <c r="B13" s="49"/>
      <c r="C13" s="43"/>
      <c r="D13" s="45"/>
    </row>
    <row r="14" spans="1:4" s="2" customFormat="1" ht="17.25" customHeight="1" x14ac:dyDescent="0.25">
      <c r="A14" s="46" t="s">
        <v>209</v>
      </c>
      <c r="B14" s="50">
        <v>4000</v>
      </c>
      <c r="C14" s="48" t="s">
        <v>206</v>
      </c>
      <c r="D14" s="45" t="s">
        <v>57</v>
      </c>
    </row>
    <row r="15" spans="1:4" s="2" customFormat="1" ht="7.5" customHeight="1" x14ac:dyDescent="0.25">
      <c r="A15" s="46"/>
      <c r="B15" s="49"/>
      <c r="C15" s="43"/>
      <c r="D15" s="45"/>
    </row>
    <row r="16" spans="1:4" ht="18.75" x14ac:dyDescent="0.3">
      <c r="A16" s="6" t="s">
        <v>190</v>
      </c>
      <c r="B16" s="6" t="s">
        <v>21</v>
      </c>
      <c r="C16" s="6" t="s">
        <v>22</v>
      </c>
      <c r="D16" s="6" t="s">
        <v>27</v>
      </c>
    </row>
    <row r="17" spans="1:4" ht="6" customHeight="1" x14ac:dyDescent="0.3">
      <c r="A17" s="16"/>
      <c r="B17" s="16"/>
      <c r="C17" s="16"/>
      <c r="D17" s="16"/>
    </row>
    <row r="18" spans="1:4" ht="18.75" x14ac:dyDescent="0.3">
      <c r="A18" s="130" t="s">
        <v>192</v>
      </c>
      <c r="B18" s="130"/>
      <c r="C18" s="130"/>
      <c r="D18" s="130"/>
    </row>
    <row r="19" spans="1:4" ht="50.25" customHeight="1" x14ac:dyDescent="0.25">
      <c r="A19" s="30" t="s">
        <v>32</v>
      </c>
      <c r="B19" s="30" t="s">
        <v>33</v>
      </c>
      <c r="C19" s="30" t="s">
        <v>25</v>
      </c>
      <c r="D19" s="45" t="s">
        <v>26</v>
      </c>
    </row>
    <row r="20" spans="1:4" ht="58.5" customHeight="1" x14ac:dyDescent="0.25">
      <c r="A20" s="30" t="s">
        <v>34</v>
      </c>
      <c r="B20" s="30" t="s">
        <v>33</v>
      </c>
      <c r="C20" s="30" t="s">
        <v>25</v>
      </c>
      <c r="D20" s="45" t="s">
        <v>26</v>
      </c>
    </row>
    <row r="21" spans="1:4" ht="58.5" customHeight="1" x14ac:dyDescent="0.25">
      <c r="A21" s="30" t="s">
        <v>36</v>
      </c>
      <c r="B21" s="30" t="s">
        <v>24</v>
      </c>
      <c r="C21" s="30" t="s">
        <v>25</v>
      </c>
      <c r="D21" s="45" t="s">
        <v>26</v>
      </c>
    </row>
    <row r="22" spans="1:4" ht="105" x14ac:dyDescent="0.25">
      <c r="A22" s="55" t="s">
        <v>166</v>
      </c>
      <c r="B22" s="30" t="s">
        <v>167</v>
      </c>
      <c r="C22" s="30" t="s">
        <v>58</v>
      </c>
      <c r="D22" s="45" t="s">
        <v>57</v>
      </c>
    </row>
    <row r="23" spans="1:4" ht="65.25" customHeight="1" x14ac:dyDescent="0.25">
      <c r="A23" s="55" t="s">
        <v>175</v>
      </c>
      <c r="B23" s="30" t="s">
        <v>177</v>
      </c>
      <c r="C23" s="30" t="s">
        <v>174</v>
      </c>
      <c r="D23" s="45" t="s">
        <v>176</v>
      </c>
    </row>
    <row r="24" spans="1:4" ht="88.5" customHeight="1" x14ac:dyDescent="0.25">
      <c r="A24" s="55" t="s">
        <v>178</v>
      </c>
      <c r="B24" s="30" t="s">
        <v>179</v>
      </c>
      <c r="C24" s="30" t="s">
        <v>181</v>
      </c>
      <c r="D24" s="45" t="s">
        <v>180</v>
      </c>
    </row>
    <row r="25" spans="1:4" ht="98.25" customHeight="1" x14ac:dyDescent="0.25">
      <c r="A25" s="55" t="s">
        <v>182</v>
      </c>
      <c r="B25" s="30" t="s">
        <v>183</v>
      </c>
      <c r="C25" s="30" t="s">
        <v>185</v>
      </c>
      <c r="D25" s="45" t="s">
        <v>184</v>
      </c>
    </row>
    <row r="26" spans="1:4" ht="186" customHeight="1" x14ac:dyDescent="0.25">
      <c r="A26" s="55" t="s">
        <v>186</v>
      </c>
      <c r="B26" s="30" t="s">
        <v>187</v>
      </c>
      <c r="C26" s="30" t="s">
        <v>189</v>
      </c>
      <c r="D26" s="45" t="s">
        <v>188</v>
      </c>
    </row>
    <row r="27" spans="1:4" ht="18.75" x14ac:dyDescent="0.3">
      <c r="A27" s="130" t="s">
        <v>194</v>
      </c>
      <c r="B27" s="130"/>
      <c r="C27" s="130"/>
      <c r="D27" s="130"/>
    </row>
    <row r="28" spans="1:4" ht="115.5" customHeight="1" x14ac:dyDescent="0.25">
      <c r="A28" s="55" t="s">
        <v>173</v>
      </c>
      <c r="B28" s="30" t="s">
        <v>171</v>
      </c>
      <c r="C28" s="30" t="s">
        <v>172</v>
      </c>
      <c r="D28" s="45" t="s">
        <v>131</v>
      </c>
    </row>
    <row r="29" spans="1:4" ht="117" customHeight="1" x14ac:dyDescent="0.25">
      <c r="A29" s="55" t="s">
        <v>168</v>
      </c>
      <c r="B29" s="30" t="s">
        <v>169</v>
      </c>
      <c r="C29" s="30" t="s">
        <v>58</v>
      </c>
      <c r="D29" s="45" t="s">
        <v>57</v>
      </c>
    </row>
    <row r="30" spans="1:4" ht="98.25" customHeight="1" x14ac:dyDescent="0.25">
      <c r="A30" s="30" t="s">
        <v>35</v>
      </c>
      <c r="B30" s="30" t="s">
        <v>193</v>
      </c>
      <c r="C30" s="30" t="s">
        <v>25</v>
      </c>
      <c r="D30" s="45" t="s">
        <v>26</v>
      </c>
    </row>
    <row r="31" spans="1:4" ht="96.75" customHeight="1" x14ac:dyDescent="0.25">
      <c r="A31" s="30" t="s">
        <v>163</v>
      </c>
      <c r="B31" s="30" t="s">
        <v>191</v>
      </c>
      <c r="C31" s="30" t="s">
        <v>162</v>
      </c>
      <c r="D31" s="45" t="s">
        <v>57</v>
      </c>
    </row>
    <row r="32" spans="1:4" ht="18" customHeight="1" x14ac:dyDescent="0.25">
      <c r="A32" s="15"/>
    </row>
  </sheetData>
  <mergeCells count="3">
    <mergeCell ref="A2:D2"/>
    <mergeCell ref="A18:D18"/>
    <mergeCell ref="A27:D27"/>
  </mergeCells>
  <hyperlinks>
    <hyperlink ref="D19" r:id="rId1"/>
    <hyperlink ref="D20" r:id="rId2"/>
    <hyperlink ref="D30" r:id="rId3"/>
    <hyperlink ref="D21" r:id="rId4"/>
    <hyperlink ref="D5"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Type of Predation</vt:lpstr>
      <vt:lpstr>Zones</vt:lpstr>
      <vt:lpstr>Demographics</vt:lpstr>
      <vt:lpstr>Probabilities</vt:lpstr>
      <vt:lpstr>Summary</vt:lpstr>
      <vt:lpstr>Expected Results</vt:lpstr>
      <vt:lpstr>Cost of Entry</vt:lpstr>
      <vt:lpstr>Death</vt:lpstr>
      <vt:lpstr>Rapes</vt:lpstr>
      <vt:lpstr>Kidnapping</vt:lpstr>
      <vt:lpstr>Human Trafficking</vt:lpstr>
      <vt:lpstr>Assault</vt:lpstr>
      <vt:lpstr>Robbery</vt:lpstr>
      <vt:lpstr>Failed Entry</vt:lpstr>
      <vt:lpstr>Drug Smuggling</vt:lpstr>
      <vt:lpstr>Incarceration</vt:lpstr>
      <vt:lpstr>Organ Harvesting</vt:lpstr>
      <vt:lpstr>Reading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Kopits</dc:creator>
  <cp:lastModifiedBy>Steven Kopits</cp:lastModifiedBy>
  <dcterms:created xsi:type="dcterms:W3CDTF">2018-04-07T19:42:01Z</dcterms:created>
  <dcterms:modified xsi:type="dcterms:W3CDTF">2018-08-20T20:56:35Z</dcterms:modified>
</cp:coreProperties>
</file>